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ferdes/OneDrive/UFPR/Disciplinas/2016-3/Planejamento e Organização da Produção/Notas de Aula/Aulas 11 e 12 - Gestão de Estoques/"/>
    </mc:Choice>
  </mc:AlternateContent>
  <bookViews>
    <workbookView xWindow="0" yWindow="460" windowWidth="25600" windowHeight="15460" tabRatio="500" activeTab="1"/>
  </bookViews>
  <sheets>
    <sheet name="Lote econômico" sheetId="1" r:id="rId1"/>
    <sheet name="Bisovil" sheetId="2" r:id="rId2"/>
    <sheet name="Bisovil - Variação" sheetId="4" r:id="rId3"/>
    <sheet name="Liparase" sheetId="3" r:id="rId4"/>
    <sheet name="Liparase - Variação" sheetId="5" r:id="rId5"/>
    <sheet name="Estoque de Segurança" sheetId="6" r:id="rId6"/>
    <sheet name="PR - Bisovil" sheetId="7" r:id="rId7"/>
    <sheet name="PR - Liparase" sheetId="8" r:id="rId8"/>
    <sheet name="RP - Bisovil" sheetId="9" r:id="rId9"/>
    <sheet name="RP - Liparase" sheetId="10" r:id="rId10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0" l="1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N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N22" i="10"/>
  <c r="K23" i="10"/>
  <c r="L23" i="10"/>
  <c r="K24" i="10"/>
  <c r="L24" i="10"/>
  <c r="K25" i="10"/>
  <c r="L25" i="10"/>
  <c r="K26" i="10"/>
  <c r="L26" i="10"/>
  <c r="C7" i="10"/>
  <c r="C5" i="10"/>
  <c r="C4" i="10"/>
  <c r="C1" i="10"/>
  <c r="C2" i="10"/>
  <c r="C3" i="10"/>
  <c r="N26" i="9"/>
  <c r="L19" i="9"/>
  <c r="N14" i="9"/>
  <c r="N2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C7" i="9"/>
  <c r="C5" i="9"/>
  <c r="J2" i="9"/>
  <c r="L2" i="9"/>
  <c r="K3" i="9"/>
  <c r="J3" i="9"/>
  <c r="L3" i="9"/>
  <c r="K4" i="9"/>
  <c r="J4" i="9"/>
  <c r="L4" i="9"/>
  <c r="K5" i="9"/>
  <c r="J5" i="9"/>
  <c r="L5" i="9"/>
  <c r="K6" i="9"/>
  <c r="J6" i="9"/>
  <c r="L6" i="9"/>
  <c r="K7" i="9"/>
  <c r="C1" i="9"/>
  <c r="C2" i="9"/>
  <c r="C3" i="9"/>
  <c r="M24" i="8"/>
  <c r="M23" i="8"/>
  <c r="M22" i="8"/>
  <c r="M21" i="8"/>
  <c r="M20" i="8"/>
  <c r="M19" i="8"/>
  <c r="L14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M18" i="8"/>
  <c r="M17" i="8"/>
  <c r="M15" i="8"/>
  <c r="L2" i="8"/>
  <c r="K3" i="8"/>
  <c r="L3" i="8"/>
  <c r="M4" i="8"/>
  <c r="M3" i="8"/>
  <c r="C3" i="8"/>
  <c r="C2" i="8"/>
  <c r="C1" i="8"/>
  <c r="C5" i="8"/>
  <c r="M16" i="8"/>
  <c r="M2" i="8"/>
  <c r="K23" i="7"/>
  <c r="L23" i="7"/>
  <c r="M23" i="7"/>
  <c r="K24" i="7"/>
  <c r="L24" i="7"/>
  <c r="M24" i="7"/>
  <c r="K25" i="7"/>
  <c r="L25" i="7"/>
  <c r="M25" i="7"/>
  <c r="K26" i="7"/>
  <c r="L26" i="7"/>
  <c r="M26" i="7"/>
  <c r="L22" i="7"/>
  <c r="K22" i="7"/>
  <c r="M9" i="7"/>
  <c r="K9" i="7"/>
  <c r="L2" i="7"/>
  <c r="K3" i="7"/>
  <c r="L3" i="7"/>
  <c r="M3" i="7"/>
  <c r="K4" i="7"/>
  <c r="L4" i="7"/>
  <c r="M4" i="7"/>
  <c r="K5" i="7"/>
  <c r="L5" i="7"/>
  <c r="K6" i="7"/>
  <c r="L6" i="7"/>
  <c r="K7" i="7"/>
  <c r="L7" i="7"/>
  <c r="K8" i="7"/>
  <c r="L8" i="7"/>
  <c r="L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K20" i="7"/>
  <c r="L20" i="7"/>
  <c r="K21" i="7"/>
  <c r="L21" i="7"/>
  <c r="J6" i="7"/>
  <c r="J5" i="7"/>
  <c r="J4" i="7"/>
  <c r="J3" i="7"/>
  <c r="J2" i="7"/>
  <c r="C1" i="7"/>
  <c r="C2" i="7"/>
  <c r="C3" i="7"/>
  <c r="C5" i="7"/>
  <c r="M2" i="7"/>
  <c r="D3" i="6"/>
  <c r="D4" i="6"/>
  <c r="D5" i="6"/>
  <c r="D6" i="6"/>
  <c r="D7" i="6"/>
  <c r="D8" i="6"/>
  <c r="D9" i="6"/>
  <c r="D10" i="6"/>
  <c r="D11" i="6"/>
  <c r="D12" i="6"/>
  <c r="D13" i="6"/>
  <c r="D2" i="6"/>
  <c r="C3" i="6"/>
  <c r="C4" i="6"/>
  <c r="C5" i="6"/>
  <c r="C6" i="6"/>
  <c r="C7" i="6"/>
  <c r="C8" i="6"/>
  <c r="C9" i="6"/>
  <c r="C10" i="6"/>
  <c r="C11" i="6"/>
  <c r="C12" i="6"/>
  <c r="C13" i="6"/>
  <c r="C2" i="6"/>
  <c r="B21" i="5"/>
  <c r="C21" i="5"/>
  <c r="D21" i="5"/>
  <c r="B20" i="5"/>
  <c r="C20" i="5"/>
  <c r="D20" i="5"/>
  <c r="B19" i="5"/>
  <c r="C19" i="5"/>
  <c r="D19" i="5"/>
  <c r="B18" i="5"/>
  <c r="C18" i="5"/>
  <c r="D18" i="5"/>
  <c r="B17" i="5"/>
  <c r="C17" i="5"/>
  <c r="D17" i="5"/>
  <c r="B16" i="5"/>
  <c r="C16" i="5"/>
  <c r="D16" i="5"/>
  <c r="B15" i="5"/>
  <c r="C15" i="5"/>
  <c r="D15" i="5"/>
  <c r="B14" i="5"/>
  <c r="C14" i="5"/>
  <c r="D14" i="5"/>
  <c r="B13" i="5"/>
  <c r="C13" i="5"/>
  <c r="D13" i="5"/>
  <c r="B12" i="5"/>
  <c r="C12" i="5"/>
  <c r="D12" i="5"/>
  <c r="B11" i="5"/>
  <c r="C11" i="5"/>
  <c r="D11" i="5"/>
  <c r="B10" i="5"/>
  <c r="C10" i="5"/>
  <c r="D10" i="5"/>
  <c r="B9" i="5"/>
  <c r="C9" i="5"/>
  <c r="D9" i="5"/>
  <c r="B8" i="5"/>
  <c r="C8" i="5"/>
  <c r="D8" i="5"/>
  <c r="B7" i="5"/>
  <c r="C7" i="5"/>
  <c r="D7" i="5"/>
  <c r="B6" i="5"/>
  <c r="C6" i="5"/>
  <c r="D6" i="5"/>
  <c r="B5" i="5"/>
  <c r="C5" i="5"/>
  <c r="D5" i="5"/>
  <c r="B4" i="5"/>
  <c r="C4" i="5"/>
  <c r="D4" i="5"/>
  <c r="B3" i="5"/>
  <c r="C3" i="5"/>
  <c r="D3" i="5"/>
  <c r="B2" i="5"/>
  <c r="C2" i="5"/>
  <c r="D2" i="5"/>
  <c r="B21" i="4"/>
  <c r="C21" i="4"/>
  <c r="D21" i="4"/>
  <c r="B20" i="4"/>
  <c r="C20" i="4"/>
  <c r="D20" i="4"/>
  <c r="B19" i="4"/>
  <c r="C19" i="4"/>
  <c r="D19" i="4"/>
  <c r="B18" i="4"/>
  <c r="C18" i="4"/>
  <c r="D18" i="4"/>
  <c r="B17" i="4"/>
  <c r="C17" i="4"/>
  <c r="D17" i="4"/>
  <c r="B16" i="4"/>
  <c r="C16" i="4"/>
  <c r="D16" i="4"/>
  <c r="B15" i="4"/>
  <c r="C15" i="4"/>
  <c r="D15" i="4"/>
  <c r="B14" i="4"/>
  <c r="C14" i="4"/>
  <c r="D14" i="4"/>
  <c r="B13" i="4"/>
  <c r="C13" i="4"/>
  <c r="D13" i="4"/>
  <c r="B12" i="4"/>
  <c r="C12" i="4"/>
  <c r="D12" i="4"/>
  <c r="B11" i="4"/>
  <c r="C11" i="4"/>
  <c r="D11" i="4"/>
  <c r="B10" i="4"/>
  <c r="C10" i="4"/>
  <c r="D10" i="4"/>
  <c r="B9" i="4"/>
  <c r="C9" i="4"/>
  <c r="D9" i="4"/>
  <c r="B8" i="4"/>
  <c r="C8" i="4"/>
  <c r="D8" i="4"/>
  <c r="B7" i="4"/>
  <c r="C7" i="4"/>
  <c r="D7" i="4"/>
  <c r="B6" i="4"/>
  <c r="C6" i="4"/>
  <c r="D6" i="4"/>
  <c r="B5" i="4"/>
  <c r="C5" i="4"/>
  <c r="D5" i="4"/>
  <c r="B4" i="4"/>
  <c r="C4" i="4"/>
  <c r="D4" i="4"/>
  <c r="B3" i="4"/>
  <c r="C3" i="4"/>
  <c r="D3" i="4"/>
  <c r="B2" i="4"/>
  <c r="C2" i="4"/>
  <c r="D2" i="4"/>
  <c r="P17" i="1"/>
  <c r="P12" i="1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C2" i="3"/>
  <c r="B2" i="3"/>
  <c r="D2" i="3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" i="2"/>
  <c r="C2" i="2"/>
  <c r="D2" i="2"/>
  <c r="P2" i="1"/>
  <c r="P7" i="1"/>
  <c r="P18" i="1"/>
  <c r="P13" i="1"/>
  <c r="P19" i="1"/>
  <c r="P14" i="1"/>
  <c r="K13" i="1"/>
  <c r="G8" i="1"/>
  <c r="G4" i="1"/>
  <c r="K2" i="1"/>
  <c r="P8" i="1"/>
  <c r="P9" i="1"/>
  <c r="P3" i="1"/>
  <c r="P4" i="1"/>
  <c r="K3" i="1"/>
  <c r="G18" i="1"/>
  <c r="G14" i="1"/>
  <c r="C25" i="1"/>
  <c r="K12" i="1"/>
  <c r="B25" i="1"/>
  <c r="T14" i="1"/>
  <c r="S17" i="1"/>
  <c r="T4" i="1"/>
  <c r="S7" i="1"/>
</calcChain>
</file>

<file path=xl/sharedStrings.xml><?xml version="1.0" encoding="utf-8"?>
<sst xmlns="http://schemas.openxmlformats.org/spreadsheetml/2006/main" count="334" uniqueCount="77">
  <si>
    <t>Bisovil</t>
  </si>
  <si>
    <t>Liparase</t>
  </si>
  <si>
    <t>Semana</t>
  </si>
  <si>
    <t>MC</t>
  </si>
  <si>
    <t>PV</t>
  </si>
  <si>
    <t>C</t>
  </si>
  <si>
    <t>LT</t>
  </si>
  <si>
    <t>semana</t>
  </si>
  <si>
    <t>A</t>
  </si>
  <si>
    <t>I</t>
  </si>
  <si>
    <t>Q*</t>
  </si>
  <si>
    <t>D</t>
  </si>
  <si>
    <t>semanas</t>
  </si>
  <si>
    <t>caixas</t>
  </si>
  <si>
    <t>Q'</t>
  </si>
  <si>
    <t>Lote econômico</t>
  </si>
  <si>
    <t>CM'</t>
  </si>
  <si>
    <t>CP'</t>
  </si>
  <si>
    <t>CT'</t>
  </si>
  <si>
    <t>Estoque de segurança</t>
  </si>
  <si>
    <t>NS</t>
  </si>
  <si>
    <t>FS</t>
  </si>
  <si>
    <t>sigma-D</t>
  </si>
  <si>
    <t>PP</t>
  </si>
  <si>
    <t>Eseg</t>
  </si>
  <si>
    <t>N*</t>
  </si>
  <si>
    <t>Margem de contribuição</t>
  </si>
  <si>
    <t>Preço de venda</t>
  </si>
  <si>
    <t>Lead time</t>
  </si>
  <si>
    <t>Custo variável unitário</t>
  </si>
  <si>
    <t>Custo unitário de preparação</t>
  </si>
  <si>
    <t>Taxa de encargos financeiros sobre os estoques</t>
  </si>
  <si>
    <t>Demanda média no período</t>
  </si>
  <si>
    <t>Lote de compra inicial</t>
  </si>
  <si>
    <t>CM*</t>
  </si>
  <si>
    <t>CP*</t>
  </si>
  <si>
    <t>CT*</t>
  </si>
  <si>
    <t>Custo de manter</t>
  </si>
  <si>
    <t>Custo de pedir</t>
  </si>
  <si>
    <t>Custo total</t>
  </si>
  <si>
    <t>ao ano</t>
  </si>
  <si>
    <t>unidades</t>
  </si>
  <si>
    <t>vezes por ano</t>
  </si>
  <si>
    <t>Bisovil - Custo da política em vigência</t>
  </si>
  <si>
    <t>Bisovil - Custo da nova política</t>
  </si>
  <si>
    <t>Liparase - Custo da política em vigência</t>
  </si>
  <si>
    <t>Liparase - Custo da nova política</t>
  </si>
  <si>
    <t>Q</t>
  </si>
  <si>
    <t>CT - Liparase</t>
  </si>
  <si>
    <t>CT - Bisovil</t>
  </si>
  <si>
    <t>caixas por semana</t>
  </si>
  <si>
    <t>CP - Bisovil</t>
  </si>
  <si>
    <t>CM - Bisovil</t>
  </si>
  <si>
    <t>CP - Liparase</t>
  </si>
  <si>
    <t>CM - Liparase</t>
  </si>
  <si>
    <t>Nível de serviço</t>
  </si>
  <si>
    <t>Fator de servíço</t>
  </si>
  <si>
    <t>Desvio-padrão da demanda</t>
  </si>
  <si>
    <t>Período do desvio-padrão da demanda</t>
  </si>
  <si>
    <t>ES - Bisovil</t>
  </si>
  <si>
    <t>ES - Liparase</t>
  </si>
  <si>
    <t>PR</t>
  </si>
  <si>
    <t>Demanda</t>
  </si>
  <si>
    <t>ES</t>
  </si>
  <si>
    <t>Ponto de reposição</t>
  </si>
  <si>
    <t>Saldo inicial</t>
  </si>
  <si>
    <t>Saldo final</t>
  </si>
  <si>
    <t>Ordem liberada</t>
  </si>
  <si>
    <t>Dia</t>
  </si>
  <si>
    <t>X</t>
  </si>
  <si>
    <t>Pedidos econômicos</t>
  </si>
  <si>
    <t>Tempo de revisão</t>
  </si>
  <si>
    <t>TR</t>
  </si>
  <si>
    <t>dias</t>
  </si>
  <si>
    <t>Revisão?</t>
  </si>
  <si>
    <t>SIM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</si>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</sst>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$&quot;* #,##0.00_);_(&quot;R$&quot;* \(#,##0.00\);_(&quot;R$&quot;* &quot;-&quot;??_);_(@_)"/>
    <numFmt numFmtId="164" formatCode="0.000"/>
    <numFmt numFmtId="165" formatCode="0.0"/>
    <numFmt numFmtId="166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0" fontId="2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9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2" fillId="0" borderId="1" xfId="0" applyNumberFormat="1" applyFont="1" applyBorder="1"/>
    <xf numFmtId="165" fontId="0" fillId="0" borderId="1" xfId="0" applyNumberFormat="1" applyBorder="1"/>
    <xf numFmtId="0" fontId="0" fillId="0" borderId="1" xfId="0" applyFill="1" applyBorder="1"/>
    <xf numFmtId="165" fontId="2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2" fillId="0" borderId="2" xfId="0" applyNumberFormat="1" applyFont="1" applyBorder="1" applyAlignment="1"/>
    <xf numFmtId="0" fontId="2" fillId="0" borderId="3" xfId="0" applyFont="1" applyBorder="1" applyAlignment="1"/>
    <xf numFmtId="2" fontId="2" fillId="0" borderId="1" xfId="0" applyNumberFormat="1" applyFont="1" applyBorder="1" applyAlignment="1"/>
    <xf numFmtId="0" fontId="0" fillId="0" borderId="1" xfId="0" applyBorder="1" applyAlignment="1"/>
  </cellXfs>
  <cellStyles count="2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Bisovil!$B$1</c:f>
              <c:strCache>
                <c:ptCount val="1"/>
                <c:pt idx="0">
                  <c:v>CP - Bisovil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Bisovil!$A$2:$A$21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Bisovil!$B$2:$B$21</c:f>
              <c:numCache>
                <c:formatCode>_("R$"* #,##0.00_);_("R$"* \(#,##0.00\);_("R$"* "-"??_);_(@_)</c:formatCode>
                <c:ptCount val="20"/>
                <c:pt idx="0">
                  <c:v>3545.766956521739</c:v>
                </c:pt>
                <c:pt idx="1">
                  <c:v>1772.883478260869</c:v>
                </c:pt>
                <c:pt idx="2">
                  <c:v>1181.92231884058</c:v>
                </c:pt>
                <c:pt idx="3">
                  <c:v>886.4417391304347</c:v>
                </c:pt>
                <c:pt idx="4">
                  <c:v>709.1533913043477</c:v>
                </c:pt>
                <c:pt idx="5">
                  <c:v>590.9611594202898</c:v>
                </c:pt>
                <c:pt idx="6">
                  <c:v>506.5381366459627</c:v>
                </c:pt>
                <c:pt idx="7">
                  <c:v>443.2208695652174</c:v>
                </c:pt>
                <c:pt idx="8">
                  <c:v>393.9741062801932</c:v>
                </c:pt>
                <c:pt idx="9">
                  <c:v>354.5766956521739</c:v>
                </c:pt>
                <c:pt idx="10">
                  <c:v>322.3424505928854</c:v>
                </c:pt>
                <c:pt idx="11">
                  <c:v>295.4805797101449</c:v>
                </c:pt>
                <c:pt idx="12">
                  <c:v>272.7513043478261</c:v>
                </c:pt>
                <c:pt idx="13">
                  <c:v>253.2690683229814</c:v>
                </c:pt>
                <c:pt idx="14">
                  <c:v>236.3844637681159</c:v>
                </c:pt>
                <c:pt idx="15">
                  <c:v>221.6104347826087</c:v>
                </c:pt>
                <c:pt idx="16">
                  <c:v>208.57452685422</c:v>
                </c:pt>
                <c:pt idx="17">
                  <c:v>196.9870531400966</c:v>
                </c:pt>
                <c:pt idx="18">
                  <c:v>186.6193135011441</c:v>
                </c:pt>
                <c:pt idx="19">
                  <c:v>177.288347826087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Bisovil!$C$1</c:f>
              <c:strCache>
                <c:ptCount val="1"/>
                <c:pt idx="0">
                  <c:v>CM - Bisovil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Bisovil!$A$2:$A$21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Bisovil!$C$2:$C$21</c:f>
              <c:numCache>
                <c:formatCode>_("R$"* #,##0.00_);_("R$"* \(#,##0.00\);_("R$"* "-"??_);_(@_)</c:formatCode>
                <c:ptCount val="20"/>
                <c:pt idx="0">
                  <c:v>81.19999999999998</c:v>
                </c:pt>
                <c:pt idx="1">
                  <c:v>162.4</c:v>
                </c:pt>
                <c:pt idx="2">
                  <c:v>243.6</c:v>
                </c:pt>
                <c:pt idx="3">
                  <c:v>324.8</c:v>
                </c:pt>
                <c:pt idx="4">
                  <c:v>406.0</c:v>
                </c:pt>
                <c:pt idx="5">
                  <c:v>487.2</c:v>
                </c:pt>
                <c:pt idx="6">
                  <c:v>568.3999999999999</c:v>
                </c:pt>
                <c:pt idx="7">
                  <c:v>649.6</c:v>
                </c:pt>
                <c:pt idx="8">
                  <c:v>730.8</c:v>
                </c:pt>
                <c:pt idx="9">
                  <c:v>812.0</c:v>
                </c:pt>
                <c:pt idx="10">
                  <c:v>893.2</c:v>
                </c:pt>
                <c:pt idx="11">
                  <c:v>974.4</c:v>
                </c:pt>
                <c:pt idx="12">
                  <c:v>1055.6</c:v>
                </c:pt>
                <c:pt idx="13">
                  <c:v>1136.8</c:v>
                </c:pt>
                <c:pt idx="14">
                  <c:v>1218.0</c:v>
                </c:pt>
                <c:pt idx="15">
                  <c:v>1299.2</c:v>
                </c:pt>
                <c:pt idx="16">
                  <c:v>1380.4</c:v>
                </c:pt>
                <c:pt idx="17">
                  <c:v>1461.6</c:v>
                </c:pt>
                <c:pt idx="18">
                  <c:v>1542.8</c:v>
                </c:pt>
                <c:pt idx="19">
                  <c:v>1624.0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Bisovil!$D$1</c:f>
              <c:strCache>
                <c:ptCount val="1"/>
                <c:pt idx="0">
                  <c:v>CT - Bisovil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Bisovil!$A$2:$A$21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Bisovil!$D$2:$D$21</c:f>
              <c:numCache>
                <c:formatCode>_("R$"* #,##0.00_);_("R$"* \(#,##0.00\);_("R$"* "-"??_);_(@_)</c:formatCode>
                <c:ptCount val="20"/>
                <c:pt idx="0">
                  <c:v>3626.966956521739</c:v>
                </c:pt>
                <c:pt idx="1">
                  <c:v>1935.283478260869</c:v>
                </c:pt>
                <c:pt idx="2">
                  <c:v>1425.52231884058</c:v>
                </c:pt>
                <c:pt idx="3">
                  <c:v>1211.241739130435</c:v>
                </c:pt>
                <c:pt idx="4">
                  <c:v>1115.153391304348</c:v>
                </c:pt>
                <c:pt idx="5">
                  <c:v>1078.16115942029</c:v>
                </c:pt>
                <c:pt idx="6">
                  <c:v>1074.938136645962</c:v>
                </c:pt>
                <c:pt idx="7">
                  <c:v>1092.820869565217</c:v>
                </c:pt>
                <c:pt idx="8">
                  <c:v>1124.774106280193</c:v>
                </c:pt>
                <c:pt idx="9">
                  <c:v>1166.576695652174</c:v>
                </c:pt>
                <c:pt idx="10">
                  <c:v>1215.542450592885</c:v>
                </c:pt>
                <c:pt idx="11">
                  <c:v>1269.880579710145</c:v>
                </c:pt>
                <c:pt idx="12">
                  <c:v>1328.351304347826</c:v>
                </c:pt>
                <c:pt idx="13">
                  <c:v>1390.069068322981</c:v>
                </c:pt>
                <c:pt idx="14">
                  <c:v>1454.384463768116</c:v>
                </c:pt>
                <c:pt idx="15">
                  <c:v>1520.810434782609</c:v>
                </c:pt>
                <c:pt idx="16">
                  <c:v>1588.97452685422</c:v>
                </c:pt>
                <c:pt idx="17">
                  <c:v>1658.587053140096</c:v>
                </c:pt>
                <c:pt idx="18">
                  <c:v>1729.419313501144</c:v>
                </c:pt>
                <c:pt idx="19">
                  <c:v>1801.288347826087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506352"/>
        <c:axId val="-2077106656"/>
      </c:lineChart>
      <c:catAx>
        <c:axId val="-20725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106656"/>
        <c:crosses val="autoZero"/>
        <c:auto val="1"/>
        <c:lblAlgn val="ctr"/>
        <c:lblOffset val="100"/>
        <c:noMultiLvlLbl val="0"/>
      </c:catAx>
      <c:valAx>
        <c:axId val="-20771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50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'Bisovil - Variação'!$B$1</c:f>
              <c:strCache>
                <c:ptCount val="1"/>
                <c:pt idx="0">
                  <c:v>CP - Bisovil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'Bisovil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'Bisovil - Variação'!$B$2:$B$21</c:f>
              <c:numCache>
                <c:formatCode>_("R$"* #,##0.00_);_("R$"* \(#,##0.00\);_("R$"* "-"??_);_(@_)</c:formatCode>
                <c:ptCount val="20"/>
                <c:pt idx="0">
                  <c:v>590.9611594202898</c:v>
                </c:pt>
                <c:pt idx="1">
                  <c:v>581.2732715609407</c:v>
                </c:pt>
                <c:pt idx="2">
                  <c:v>571.8978962131837</c:v>
                </c:pt>
                <c:pt idx="3">
                  <c:v>562.8201518288474</c:v>
                </c:pt>
                <c:pt idx="4">
                  <c:v>554.0260869565216</c:v>
                </c:pt>
                <c:pt idx="5">
                  <c:v>545.5026086956522</c:v>
                </c:pt>
                <c:pt idx="6">
                  <c:v>537.237417654809</c:v>
                </c:pt>
                <c:pt idx="7">
                  <c:v>529.218948734588</c:v>
                </c:pt>
                <c:pt idx="8">
                  <c:v>521.4363171355499</c:v>
                </c:pt>
                <c:pt idx="9">
                  <c:v>513.8792690611216</c:v>
                </c:pt>
                <c:pt idx="10">
                  <c:v>506.5381366459627</c:v>
                </c:pt>
                <c:pt idx="11">
                  <c:v>499.4037966932027</c:v>
                </c:pt>
                <c:pt idx="12">
                  <c:v>492.4676328502415</c:v>
                </c:pt>
                <c:pt idx="13">
                  <c:v>485.721500893389</c:v>
                </c:pt>
                <c:pt idx="14">
                  <c:v>479.157696827262</c:v>
                </c:pt>
                <c:pt idx="15">
                  <c:v>472.7689275362318</c:v>
                </c:pt>
                <c:pt idx="16">
                  <c:v>466.5482837528604</c:v>
                </c:pt>
                <c:pt idx="17">
                  <c:v>460.4892151326933</c:v>
                </c:pt>
                <c:pt idx="18">
                  <c:v>454.5855072463768</c:v>
                </c:pt>
                <c:pt idx="19">
                  <c:v>448.8312603192074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'Bisovil - Variação'!$C$1</c:f>
              <c:strCache>
                <c:ptCount val="1"/>
                <c:pt idx="0">
                  <c:v>CM - Bisovil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'Bisovil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'Bisovil - Variação'!$C$2:$C$21</c:f>
              <c:numCache>
                <c:formatCode>_("R$"* #,##0.00_);_("R$"* \(#,##0.00\);_("R$"* "-"??_);_(@_)</c:formatCode>
                <c:ptCount val="20"/>
                <c:pt idx="0">
                  <c:v>487.2</c:v>
                </c:pt>
                <c:pt idx="1">
                  <c:v>495.32</c:v>
                </c:pt>
                <c:pt idx="2">
                  <c:v>503.4399999999999</c:v>
                </c:pt>
                <c:pt idx="3">
                  <c:v>511.5599999999999</c:v>
                </c:pt>
                <c:pt idx="4">
                  <c:v>519.68</c:v>
                </c:pt>
                <c:pt idx="5">
                  <c:v>527.8</c:v>
                </c:pt>
                <c:pt idx="6">
                  <c:v>535.9199999999998</c:v>
                </c:pt>
                <c:pt idx="7">
                  <c:v>544.0399999999998</c:v>
                </c:pt>
                <c:pt idx="8">
                  <c:v>552.1599999999999</c:v>
                </c:pt>
                <c:pt idx="9">
                  <c:v>560.2799999999998</c:v>
                </c:pt>
                <c:pt idx="10">
                  <c:v>568.3999999999999</c:v>
                </c:pt>
                <c:pt idx="11">
                  <c:v>576.5199999999999</c:v>
                </c:pt>
                <c:pt idx="12">
                  <c:v>584.6399999999999</c:v>
                </c:pt>
                <c:pt idx="13">
                  <c:v>592.7599999999999</c:v>
                </c:pt>
                <c:pt idx="14">
                  <c:v>600.88</c:v>
                </c:pt>
                <c:pt idx="15">
                  <c:v>609.0</c:v>
                </c:pt>
                <c:pt idx="16">
                  <c:v>617.12</c:v>
                </c:pt>
                <c:pt idx="17">
                  <c:v>625.24</c:v>
                </c:pt>
                <c:pt idx="18">
                  <c:v>633.3599999999999</c:v>
                </c:pt>
                <c:pt idx="19">
                  <c:v>641.48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'Bisovil - Variação'!$D$1</c:f>
              <c:strCache>
                <c:ptCount val="1"/>
                <c:pt idx="0">
                  <c:v>CT - Bisovil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'Bisovil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'Bisovil - Variação'!$D$2:$D$21</c:f>
              <c:numCache>
                <c:formatCode>_("R$"* #,##0.00_);_("R$"* \(#,##0.00\);_("R$"* "-"??_);_(@_)</c:formatCode>
                <c:ptCount val="20"/>
                <c:pt idx="0">
                  <c:v>1078.16115942029</c:v>
                </c:pt>
                <c:pt idx="1">
                  <c:v>1076.593271560941</c:v>
                </c:pt>
                <c:pt idx="2">
                  <c:v>1075.337896213184</c:v>
                </c:pt>
                <c:pt idx="3">
                  <c:v>1074.380151828847</c:v>
                </c:pt>
                <c:pt idx="4">
                  <c:v>1073.706086956522</c:v>
                </c:pt>
                <c:pt idx="5">
                  <c:v>1073.302608695652</c:v>
                </c:pt>
                <c:pt idx="6">
                  <c:v>1073.157417654809</c:v>
                </c:pt>
                <c:pt idx="7">
                  <c:v>1073.258948734588</c:v>
                </c:pt>
                <c:pt idx="8">
                  <c:v>1073.59631713555</c:v>
                </c:pt>
                <c:pt idx="9">
                  <c:v>1074.159269061121</c:v>
                </c:pt>
                <c:pt idx="10">
                  <c:v>1074.938136645962</c:v>
                </c:pt>
                <c:pt idx="11">
                  <c:v>1075.923796693203</c:v>
                </c:pt>
                <c:pt idx="12">
                  <c:v>1077.107632850241</c:v>
                </c:pt>
                <c:pt idx="13">
                  <c:v>1078.481500893389</c:v>
                </c:pt>
                <c:pt idx="14">
                  <c:v>1080.037696827262</c:v>
                </c:pt>
                <c:pt idx="15">
                  <c:v>1081.768927536232</c:v>
                </c:pt>
                <c:pt idx="16">
                  <c:v>1083.66828375286</c:v>
                </c:pt>
                <c:pt idx="17">
                  <c:v>1085.729215132693</c:v>
                </c:pt>
                <c:pt idx="18">
                  <c:v>1087.945507246377</c:v>
                </c:pt>
                <c:pt idx="19">
                  <c:v>1090.311260319207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4760768"/>
        <c:axId val="-2076531072"/>
      </c:lineChart>
      <c:catAx>
        <c:axId val="-20547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531072"/>
        <c:crosses val="autoZero"/>
        <c:auto val="1"/>
        <c:lblAlgn val="ctr"/>
        <c:lblOffset val="100"/>
        <c:noMultiLvlLbl val="0"/>
      </c:catAx>
      <c:valAx>
        <c:axId val="-20765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76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Liparase!$B$1</c:f>
              <c:strCache>
                <c:ptCount val="1"/>
                <c:pt idx="0">
                  <c:v>CP - Liparase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Liparase!$A$2:$A$21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Liparase!$B$2:$B$21</c:f>
              <c:numCache>
                <c:formatCode>_("R$"* #,##0.00_);_("R$"* \(#,##0.00\);_("R$"* "-"??_);_(@_)</c:formatCode>
                <c:ptCount val="20"/>
                <c:pt idx="0">
                  <c:v>2251.373913043478</c:v>
                </c:pt>
                <c:pt idx="1">
                  <c:v>1125.68695652174</c:v>
                </c:pt>
                <c:pt idx="2">
                  <c:v>750.4579710144927</c:v>
                </c:pt>
                <c:pt idx="3">
                  <c:v>562.8434782608695</c:v>
                </c:pt>
                <c:pt idx="4">
                  <c:v>450.2747826086956</c:v>
                </c:pt>
                <c:pt idx="5">
                  <c:v>375.2289855072464</c:v>
                </c:pt>
                <c:pt idx="6">
                  <c:v>321.6248447204968</c:v>
                </c:pt>
                <c:pt idx="7">
                  <c:v>281.4217391304348</c:v>
                </c:pt>
                <c:pt idx="8">
                  <c:v>250.1526570048309</c:v>
                </c:pt>
                <c:pt idx="9">
                  <c:v>225.1373913043478</c:v>
                </c:pt>
                <c:pt idx="10">
                  <c:v>204.6703557312253</c:v>
                </c:pt>
                <c:pt idx="11">
                  <c:v>187.6144927536232</c:v>
                </c:pt>
                <c:pt idx="12">
                  <c:v>173.1826086956522</c:v>
                </c:pt>
                <c:pt idx="13">
                  <c:v>160.8124223602484</c:v>
                </c:pt>
                <c:pt idx="14">
                  <c:v>150.0915942028985</c:v>
                </c:pt>
                <c:pt idx="15">
                  <c:v>140.7108695652174</c:v>
                </c:pt>
                <c:pt idx="16">
                  <c:v>132.4337595907928</c:v>
                </c:pt>
                <c:pt idx="17">
                  <c:v>125.0763285024154</c:v>
                </c:pt>
                <c:pt idx="18">
                  <c:v>118.4933638443936</c:v>
                </c:pt>
                <c:pt idx="19">
                  <c:v>112.568695652174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Liparase!$C$1</c:f>
              <c:strCache>
                <c:ptCount val="1"/>
                <c:pt idx="0">
                  <c:v>CM - Liparase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Liparase!$A$2:$A$21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Liparase!$C$2:$C$21</c:f>
              <c:numCache>
                <c:formatCode>_("R$"* #,##0.00_);_("R$"* \(#,##0.00\);_("R$"* "-"??_);_(@_)</c:formatCode>
                <c:ptCount val="20"/>
                <c:pt idx="0">
                  <c:v>48.72</c:v>
                </c:pt>
                <c:pt idx="1">
                  <c:v>97.44</c:v>
                </c:pt>
                <c:pt idx="2">
                  <c:v>146.16</c:v>
                </c:pt>
                <c:pt idx="3">
                  <c:v>194.88</c:v>
                </c:pt>
                <c:pt idx="4">
                  <c:v>243.6</c:v>
                </c:pt>
                <c:pt idx="5">
                  <c:v>292.32</c:v>
                </c:pt>
                <c:pt idx="6">
                  <c:v>341.04</c:v>
                </c:pt>
                <c:pt idx="7">
                  <c:v>389.76</c:v>
                </c:pt>
                <c:pt idx="8">
                  <c:v>438.48</c:v>
                </c:pt>
                <c:pt idx="9">
                  <c:v>487.2</c:v>
                </c:pt>
                <c:pt idx="10">
                  <c:v>535.9200000000001</c:v>
                </c:pt>
                <c:pt idx="11">
                  <c:v>584.64</c:v>
                </c:pt>
                <c:pt idx="12">
                  <c:v>633.3599999999999</c:v>
                </c:pt>
                <c:pt idx="13">
                  <c:v>682.08</c:v>
                </c:pt>
                <c:pt idx="14">
                  <c:v>730.8000000000001</c:v>
                </c:pt>
                <c:pt idx="15">
                  <c:v>779.5200000000001</c:v>
                </c:pt>
                <c:pt idx="16">
                  <c:v>828.2400000000001</c:v>
                </c:pt>
                <c:pt idx="17">
                  <c:v>876.96</c:v>
                </c:pt>
                <c:pt idx="18">
                  <c:v>925.68</c:v>
                </c:pt>
                <c:pt idx="19">
                  <c:v>974.4000000000001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Liparase!$D$1</c:f>
              <c:strCache>
                <c:ptCount val="1"/>
                <c:pt idx="0">
                  <c:v>CT - Liparase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Liparase!$A$2:$A$21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Liparase!$D$2:$D$21</c:f>
              <c:numCache>
                <c:formatCode>_("R$"* #,##0.00_);_("R$"* \(#,##0.00\);_("R$"* "-"??_);_(@_)</c:formatCode>
                <c:ptCount val="20"/>
                <c:pt idx="0">
                  <c:v>2300.093913043478</c:v>
                </c:pt>
                <c:pt idx="1">
                  <c:v>1223.12695652174</c:v>
                </c:pt>
                <c:pt idx="2">
                  <c:v>896.6179710144927</c:v>
                </c:pt>
                <c:pt idx="3">
                  <c:v>757.7234782608695</c:v>
                </c:pt>
                <c:pt idx="4">
                  <c:v>693.8747826086955</c:v>
                </c:pt>
                <c:pt idx="5">
                  <c:v>667.5489855072463</c:v>
                </c:pt>
                <c:pt idx="6">
                  <c:v>662.6648447204968</c:v>
                </c:pt>
                <c:pt idx="7">
                  <c:v>671.1817391304348</c:v>
                </c:pt>
                <c:pt idx="8">
                  <c:v>688.6326570048309</c:v>
                </c:pt>
                <c:pt idx="9">
                  <c:v>712.3373913043479</c:v>
                </c:pt>
                <c:pt idx="10">
                  <c:v>740.5903557312253</c:v>
                </c:pt>
                <c:pt idx="11">
                  <c:v>772.2544927536231</c:v>
                </c:pt>
                <c:pt idx="12">
                  <c:v>806.542608695652</c:v>
                </c:pt>
                <c:pt idx="13">
                  <c:v>842.8924223602484</c:v>
                </c:pt>
                <c:pt idx="14">
                  <c:v>880.8915942028987</c:v>
                </c:pt>
                <c:pt idx="15">
                  <c:v>920.2308695652175</c:v>
                </c:pt>
                <c:pt idx="16">
                  <c:v>960.673759590793</c:v>
                </c:pt>
                <c:pt idx="17">
                  <c:v>1002.036328502415</c:v>
                </c:pt>
                <c:pt idx="18">
                  <c:v>1044.173363844394</c:v>
                </c:pt>
                <c:pt idx="19">
                  <c:v>1086.968695652174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4377552"/>
        <c:axId val="-2072464864"/>
      </c:lineChart>
      <c:catAx>
        <c:axId val="-20743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464864"/>
        <c:crosses val="autoZero"/>
        <c:auto val="1"/>
        <c:lblAlgn val="ctr"/>
        <c:lblOffset val="100"/>
        <c:noMultiLvlLbl val="0"/>
      </c:catAx>
      <c:valAx>
        <c:axId val="-20724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437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'Liparase - Variação'!$B$1</c:f>
              <c:strCache>
                <c:ptCount val="1"/>
                <c:pt idx="0">
                  <c:v>CP - Liparase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'Liparase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'Liparase - Variação'!$B$2:$B$21</c:f>
              <c:numCache>
                <c:formatCode>_("R$"* #,##0.00_);_("R$"* \(#,##0.00\);_("R$"* "-"??_);_(@_)</c:formatCode>
                <c:ptCount val="20"/>
                <c:pt idx="0">
                  <c:v>375.2289855072464</c:v>
                </c:pt>
                <c:pt idx="1">
                  <c:v>369.0776906628652</c:v>
                </c:pt>
                <c:pt idx="2">
                  <c:v>363.124824684432</c:v>
                </c:pt>
                <c:pt idx="3">
                  <c:v>357.3609385783299</c:v>
                </c:pt>
                <c:pt idx="4">
                  <c:v>351.7771739130434</c:v>
                </c:pt>
                <c:pt idx="5">
                  <c:v>346.3652173913043</c:v>
                </c:pt>
                <c:pt idx="6">
                  <c:v>341.1172595520421</c:v>
                </c:pt>
                <c:pt idx="7">
                  <c:v>336.0259571706684</c:v>
                </c:pt>
                <c:pt idx="8">
                  <c:v>331.0843989769821</c:v>
                </c:pt>
                <c:pt idx="9">
                  <c:v>326.2860743541273</c:v>
                </c:pt>
                <c:pt idx="10">
                  <c:v>321.6248447204968</c:v>
                </c:pt>
                <c:pt idx="11">
                  <c:v>317.0949173300673</c:v>
                </c:pt>
                <c:pt idx="12">
                  <c:v>312.6908212560386</c:v>
                </c:pt>
                <c:pt idx="13">
                  <c:v>308.4073853484217</c:v>
                </c:pt>
                <c:pt idx="14">
                  <c:v>304.2397179788484</c:v>
                </c:pt>
                <c:pt idx="15">
                  <c:v>300.1831884057971</c:v>
                </c:pt>
                <c:pt idx="16">
                  <c:v>296.233409610984</c:v>
                </c:pt>
                <c:pt idx="17">
                  <c:v>292.386222473179</c:v>
                </c:pt>
                <c:pt idx="18">
                  <c:v>288.6376811594202</c:v>
                </c:pt>
                <c:pt idx="19">
                  <c:v>284.9840396257567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'Liparase - Variação'!$C$1</c:f>
              <c:strCache>
                <c:ptCount val="1"/>
                <c:pt idx="0">
                  <c:v>CM - Liparase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'Liparase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'Liparase - Variação'!$C$2:$C$21</c:f>
              <c:numCache>
                <c:formatCode>_("R$"* #,##0.00_);_("R$"* \(#,##0.00\);_("R$"* "-"??_);_(@_)</c:formatCode>
                <c:ptCount val="20"/>
                <c:pt idx="0">
                  <c:v>292.32</c:v>
                </c:pt>
                <c:pt idx="1">
                  <c:v>297.192</c:v>
                </c:pt>
                <c:pt idx="2">
                  <c:v>302.064</c:v>
                </c:pt>
                <c:pt idx="3">
                  <c:v>306.936</c:v>
                </c:pt>
                <c:pt idx="4">
                  <c:v>311.808</c:v>
                </c:pt>
                <c:pt idx="5">
                  <c:v>316.6799999999999</c:v>
                </c:pt>
                <c:pt idx="6">
                  <c:v>321.552</c:v>
                </c:pt>
                <c:pt idx="7">
                  <c:v>326.424</c:v>
                </c:pt>
                <c:pt idx="8">
                  <c:v>331.296</c:v>
                </c:pt>
                <c:pt idx="9">
                  <c:v>336.168</c:v>
                </c:pt>
                <c:pt idx="10">
                  <c:v>341.04</c:v>
                </c:pt>
                <c:pt idx="11">
                  <c:v>345.912</c:v>
                </c:pt>
                <c:pt idx="12">
                  <c:v>350.784</c:v>
                </c:pt>
                <c:pt idx="13">
                  <c:v>355.656</c:v>
                </c:pt>
                <c:pt idx="14">
                  <c:v>360.528</c:v>
                </c:pt>
                <c:pt idx="15">
                  <c:v>365.4</c:v>
                </c:pt>
                <c:pt idx="16">
                  <c:v>370.272</c:v>
                </c:pt>
                <c:pt idx="17">
                  <c:v>375.144</c:v>
                </c:pt>
                <c:pt idx="18">
                  <c:v>380.016</c:v>
                </c:pt>
                <c:pt idx="19">
                  <c:v>384.888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'Liparase - Variação'!$D$1</c:f>
              <c:strCache>
                <c:ptCount val="1"/>
                <c:pt idx="0">
                  <c:v>CT - Liparase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'Liparase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'Liparase - Variação'!$D$2:$D$21</c:f>
              <c:numCache>
                <c:formatCode>_("R$"* #,##0.00_);_("R$"* \(#,##0.00\);_("R$"* "-"??_);_(@_)</c:formatCode>
                <c:ptCount val="20"/>
                <c:pt idx="0">
                  <c:v>667.5489855072463</c:v>
                </c:pt>
                <c:pt idx="1">
                  <c:v>666.2696906628652</c:v>
                </c:pt>
                <c:pt idx="2">
                  <c:v>665.1888246844319</c:v>
                </c:pt>
                <c:pt idx="3">
                  <c:v>664.29693857833</c:v>
                </c:pt>
                <c:pt idx="4">
                  <c:v>663.5851739130434</c:v>
                </c:pt>
                <c:pt idx="5">
                  <c:v>663.0452173913043</c:v>
                </c:pt>
                <c:pt idx="6">
                  <c:v>662.6692595520421</c:v>
                </c:pt>
                <c:pt idx="7">
                  <c:v>662.4499571706684</c:v>
                </c:pt>
                <c:pt idx="8">
                  <c:v>662.380398976982</c:v>
                </c:pt>
                <c:pt idx="9">
                  <c:v>662.4540743541272</c:v>
                </c:pt>
                <c:pt idx="10">
                  <c:v>662.6648447204968</c:v>
                </c:pt>
                <c:pt idx="11">
                  <c:v>663.0069173300673</c:v>
                </c:pt>
                <c:pt idx="12">
                  <c:v>663.4748212560386</c:v>
                </c:pt>
                <c:pt idx="13">
                  <c:v>664.0633853484216</c:v>
                </c:pt>
                <c:pt idx="14">
                  <c:v>664.7677179788483</c:v>
                </c:pt>
                <c:pt idx="15">
                  <c:v>665.583188405797</c:v>
                </c:pt>
                <c:pt idx="16">
                  <c:v>666.5054096109841</c:v>
                </c:pt>
                <c:pt idx="17">
                  <c:v>667.530222473179</c:v>
                </c:pt>
                <c:pt idx="18">
                  <c:v>668.6536811594203</c:v>
                </c:pt>
                <c:pt idx="19">
                  <c:v>669.8720396257568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2427088"/>
        <c:axId val="-2051316672"/>
      </c:lineChart>
      <c:catAx>
        <c:axId val="-205242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1316672"/>
        <c:crosses val="autoZero"/>
        <c:auto val="1"/>
        <c:lblAlgn val="ctr"/>
        <c:lblOffset val="100"/>
        <c:noMultiLvlLbl val="0"/>
      </c:catAx>
      <c:valAx>
        <c:axId val="-20513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42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 - Bisovil'!$K$1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 - Bisovil'!$K$2:$K$26</c:f>
              <c:numCache>
                <c:formatCode>General</c:formatCode>
                <c:ptCount val="25"/>
                <c:pt idx="0">
                  <c:v>250.0</c:v>
                </c:pt>
                <c:pt idx="1">
                  <c:v>234.0</c:v>
                </c:pt>
                <c:pt idx="2">
                  <c:v>218.0</c:v>
                </c:pt>
                <c:pt idx="3">
                  <c:v>202.0</c:v>
                </c:pt>
                <c:pt idx="4">
                  <c:v>186.0</c:v>
                </c:pt>
                <c:pt idx="5">
                  <c:v>170.0</c:v>
                </c:pt>
                <c:pt idx="6">
                  <c:v>141.0</c:v>
                </c:pt>
                <c:pt idx="7">
                  <c:v>444.0</c:v>
                </c:pt>
                <c:pt idx="8">
                  <c:v>415.0</c:v>
                </c:pt>
                <c:pt idx="9">
                  <c:v>387.0</c:v>
                </c:pt>
                <c:pt idx="10">
                  <c:v>358.0</c:v>
                </c:pt>
                <c:pt idx="11">
                  <c:v>333.0</c:v>
                </c:pt>
                <c:pt idx="12">
                  <c:v>309.0</c:v>
                </c:pt>
                <c:pt idx="13">
                  <c:v>284.0</c:v>
                </c:pt>
                <c:pt idx="14">
                  <c:v>260.0</c:v>
                </c:pt>
                <c:pt idx="15">
                  <c:v>235.0</c:v>
                </c:pt>
                <c:pt idx="16">
                  <c:v>204.0</c:v>
                </c:pt>
                <c:pt idx="17">
                  <c:v>172.0</c:v>
                </c:pt>
                <c:pt idx="18">
                  <c:v>141.0</c:v>
                </c:pt>
                <c:pt idx="19">
                  <c:v>109.0</c:v>
                </c:pt>
                <c:pt idx="20">
                  <c:v>78.0</c:v>
                </c:pt>
                <c:pt idx="21">
                  <c:v>381.0</c:v>
                </c:pt>
                <c:pt idx="22">
                  <c:v>352.0</c:v>
                </c:pt>
                <c:pt idx="23">
                  <c:v>323.0</c:v>
                </c:pt>
                <c:pt idx="24">
                  <c:v>294.0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4157248"/>
        <c:axId val="-2128190480"/>
      </c:lineChart>
      <c:catAx>
        <c:axId val="-20541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190480"/>
        <c:crosses val="autoZero"/>
        <c:auto val="1"/>
        <c:lblAlgn val="ctr"/>
        <c:lblOffset val="100"/>
        <c:noMultiLvlLbl val="0"/>
      </c:catAx>
      <c:valAx>
        <c:axId val="-212819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1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 - Liparase'!$K$1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 - Liparase'!$K$2:$K$26</c:f>
              <c:numCache>
                <c:formatCode>General</c:formatCode>
                <c:ptCount val="25"/>
                <c:pt idx="0">
                  <c:v>220.0</c:v>
                </c:pt>
                <c:pt idx="1">
                  <c:v>208.0</c:v>
                </c:pt>
                <c:pt idx="2">
                  <c:v>196.0</c:v>
                </c:pt>
                <c:pt idx="3">
                  <c:v>183.0</c:v>
                </c:pt>
                <c:pt idx="4">
                  <c:v>171.0</c:v>
                </c:pt>
                <c:pt idx="5">
                  <c:v>159.0</c:v>
                </c:pt>
                <c:pt idx="6">
                  <c:v>142.0</c:v>
                </c:pt>
                <c:pt idx="7">
                  <c:v>125.0</c:v>
                </c:pt>
                <c:pt idx="8">
                  <c:v>107.0</c:v>
                </c:pt>
                <c:pt idx="9">
                  <c:v>90.0</c:v>
                </c:pt>
                <c:pt idx="10">
                  <c:v>73.0</c:v>
                </c:pt>
                <c:pt idx="11">
                  <c:v>57.0</c:v>
                </c:pt>
                <c:pt idx="12">
                  <c:v>42.0</c:v>
                </c:pt>
                <c:pt idx="13">
                  <c:v>366.0</c:v>
                </c:pt>
                <c:pt idx="14">
                  <c:v>351.0</c:v>
                </c:pt>
                <c:pt idx="15">
                  <c:v>335.0</c:v>
                </c:pt>
                <c:pt idx="16">
                  <c:v>317.0</c:v>
                </c:pt>
                <c:pt idx="17">
                  <c:v>298.0</c:v>
                </c:pt>
                <c:pt idx="18">
                  <c:v>280.0</c:v>
                </c:pt>
                <c:pt idx="19">
                  <c:v>261.0</c:v>
                </c:pt>
                <c:pt idx="20">
                  <c:v>243.0</c:v>
                </c:pt>
                <c:pt idx="21">
                  <c:v>226.0</c:v>
                </c:pt>
                <c:pt idx="22">
                  <c:v>208.0</c:v>
                </c:pt>
                <c:pt idx="23">
                  <c:v>191.0</c:v>
                </c:pt>
                <c:pt idx="24">
                  <c:v>173.0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8512080"/>
        <c:axId val="-2128048256"/>
      </c:lineChart>
      <c:catAx>
        <c:axId val="-20485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048256"/>
        <c:crosses val="autoZero"/>
        <c:auto val="1"/>
        <c:lblAlgn val="ctr"/>
        <c:lblOffset val="100"/>
        <c:noMultiLvlLbl val="0"/>
      </c:catAx>
      <c:valAx>
        <c:axId val="-21280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851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'RP - Bisovil'!$K$1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'RP - Bisovil'!$K$2:$K$26</c:f>
              <c:numCache>
                <c:formatCode>General</c:formatCode>
                <c:ptCount val="25"/>
                <c:pt idx="0">
                  <c:v>250.0</c:v>
                </c:pt>
                <c:pt idx="1">
                  <c:v>234.0</c:v>
                </c:pt>
                <c:pt idx="2">
                  <c:v>218.0</c:v>
                </c:pt>
                <c:pt idx="3">
                  <c:v>202.0</c:v>
                </c:pt>
                <c:pt idx="4">
                  <c:v>186.0</c:v>
                </c:pt>
                <c:pt idx="5">
                  <c:v>170.0</c:v>
                </c:pt>
                <c:pt idx="6">
                  <c:v>441.0</c:v>
                </c:pt>
                <c:pt idx="7">
                  <c:v>413.0</c:v>
                </c:pt>
                <c:pt idx="8">
                  <c:v>384.0</c:v>
                </c:pt>
                <c:pt idx="9">
                  <c:v>356.0</c:v>
                </c:pt>
                <c:pt idx="10">
                  <c:v>327.0</c:v>
                </c:pt>
                <c:pt idx="11">
                  <c:v>302.0</c:v>
                </c:pt>
                <c:pt idx="12">
                  <c:v>278.0</c:v>
                </c:pt>
                <c:pt idx="13">
                  <c:v>253.0</c:v>
                </c:pt>
                <c:pt idx="14">
                  <c:v>229.0</c:v>
                </c:pt>
                <c:pt idx="15">
                  <c:v>204.0</c:v>
                </c:pt>
                <c:pt idx="16">
                  <c:v>173.0</c:v>
                </c:pt>
                <c:pt idx="17">
                  <c:v>141.0</c:v>
                </c:pt>
                <c:pt idx="18">
                  <c:v>391.0</c:v>
                </c:pt>
                <c:pt idx="19">
                  <c:v>359.0</c:v>
                </c:pt>
                <c:pt idx="20">
                  <c:v>328.0</c:v>
                </c:pt>
                <c:pt idx="21">
                  <c:v>300.0</c:v>
                </c:pt>
                <c:pt idx="22">
                  <c:v>271.0</c:v>
                </c:pt>
                <c:pt idx="23">
                  <c:v>242.0</c:v>
                </c:pt>
                <c:pt idx="24">
                  <c:v>213.0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8480432"/>
        <c:axId val="-2048491136"/>
      </c:lineChart>
      <c:catAx>
        <c:axId val="-20284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8491136"/>
        <c:crosses val="autoZero"/>
        <c:auto val="1"/>
        <c:lblAlgn val="ctr"/>
        <c:lblOffset val="100"/>
        <c:noMultiLvlLbl val="0"/>
      </c:catAx>
      <c:valAx>
        <c:axId val="-204849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848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'RP - Liparase'!$K$1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'RP - Liparase'!$K$2:$K$26</c:f>
              <c:numCache>
                <c:formatCode>General</c:formatCode>
                <c:ptCount val="25"/>
                <c:pt idx="0">
                  <c:v>220.0</c:v>
                </c:pt>
                <c:pt idx="1">
                  <c:v>208.0</c:v>
                </c:pt>
                <c:pt idx="2">
                  <c:v>196.0</c:v>
                </c:pt>
                <c:pt idx="3">
                  <c:v>183.0</c:v>
                </c:pt>
                <c:pt idx="4">
                  <c:v>171.0</c:v>
                </c:pt>
                <c:pt idx="5">
                  <c:v>159.0</c:v>
                </c:pt>
                <c:pt idx="6">
                  <c:v>142.0</c:v>
                </c:pt>
                <c:pt idx="7">
                  <c:v>125.0</c:v>
                </c:pt>
                <c:pt idx="8">
                  <c:v>107.0</c:v>
                </c:pt>
                <c:pt idx="9">
                  <c:v>90.0</c:v>
                </c:pt>
                <c:pt idx="10">
                  <c:v>73.0</c:v>
                </c:pt>
                <c:pt idx="11">
                  <c:v>384.0</c:v>
                </c:pt>
                <c:pt idx="12">
                  <c:v>369.0</c:v>
                </c:pt>
                <c:pt idx="13">
                  <c:v>353.0</c:v>
                </c:pt>
                <c:pt idx="14">
                  <c:v>338.0</c:v>
                </c:pt>
                <c:pt idx="15">
                  <c:v>322.0</c:v>
                </c:pt>
                <c:pt idx="16">
                  <c:v>304.0</c:v>
                </c:pt>
                <c:pt idx="17">
                  <c:v>285.0</c:v>
                </c:pt>
                <c:pt idx="18">
                  <c:v>267.0</c:v>
                </c:pt>
                <c:pt idx="19">
                  <c:v>248.0</c:v>
                </c:pt>
                <c:pt idx="20">
                  <c:v>230.0</c:v>
                </c:pt>
                <c:pt idx="21">
                  <c:v>213.0</c:v>
                </c:pt>
                <c:pt idx="22">
                  <c:v>195.0</c:v>
                </c:pt>
                <c:pt idx="23">
                  <c:v>178.0</c:v>
                </c:pt>
                <c:pt idx="24">
                  <c:v>160.0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838192"/>
        <c:axId val="-2047405344"/>
      </c:lineChart>
      <c:catAx>
        <c:axId val="-212683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7405344"/>
        <c:crosses val="autoZero"/>
        <c:auto val="1"/>
        <c:lblAlgn val="ctr"/>
        <c:lblOffset val="100"/>
        <c:noMultiLvlLbl val="0"/>
      </c:catAx>
      <c:valAx>
        <c:axId val="-20474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3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508000</xdr:colOff>
      <xdr:row>6</xdr:row>
      <xdr:rowOff>12700</xdr:rowOff>
    </xdr:from>
    <xdr:to>
      <xdr:col>19</xdr:col>
      <xdr:colOff>127000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508000</xdr:colOff>
      <xdr:row>6</xdr:row>
      <xdr:rowOff>12700</xdr:rowOff>
    </xdr:from>
    <xdr:to>
      <xdr:col>19</xdr:col>
      <xdr:colOff>127000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139700</xdr:colOff>
      <xdr:row>18</xdr:row>
      <xdr:rowOff>25400</xdr:rowOff>
    </xdr:from>
    <xdr:to>
      <xdr:col>20</xdr:col>
      <xdr:colOff>584200</xdr:colOff>
      <xdr:row>31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13</xdr:row>
      <xdr:rowOff>50800</xdr:rowOff>
    </xdr:from>
    <xdr:to>
      <xdr:col>21</xdr:col>
      <xdr:colOff>0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130" zoomScaleNormal="130" zoomScalePageLayoutView="130" workbookViewId="0">
      <selection activeCell="C4" sqref="C4"/>
    </sheetView>
  </sheetViews>
  <sheetFormatPr baseColWidth="10" defaultRowHeight="16" x14ac:dyDescent="0.2"/>
  <cols>
    <col min="4" max="4" width="4.5" customWidth="1"/>
    <col min="5" max="5" width="39.6640625" bestFit="1" customWidth="1"/>
    <col min="6" max="6" width="3.83203125" bestFit="1" customWidth="1"/>
    <col min="7" max="7" width="9.1640625" style="2" customWidth="1"/>
    <col min="8" max="8" width="16.1640625" bestFit="1" customWidth="1"/>
    <col min="9" max="9" width="5" customWidth="1"/>
    <col min="10" max="10" width="4.83203125" customWidth="1"/>
    <col min="11" max="11" width="6.83203125" customWidth="1"/>
    <col min="12" max="12" width="12.33203125" bestFit="1" customWidth="1"/>
    <col min="13" max="13" width="4.5" customWidth="1"/>
    <col min="14" max="14" width="16.83203125" customWidth="1"/>
    <col min="15" max="15" width="4.83203125" bestFit="1" customWidth="1"/>
    <col min="16" max="16" width="13.6640625" customWidth="1"/>
    <col min="18" max="18" width="33.1640625" bestFit="1" customWidth="1"/>
    <col min="19" max="19" width="7.6640625" bestFit="1" customWidth="1"/>
    <col min="20" max="20" width="7.33203125" customWidth="1"/>
  </cols>
  <sheetData>
    <row r="1" spans="1:21" x14ac:dyDescent="0.2">
      <c r="A1" t="s">
        <v>2</v>
      </c>
      <c r="B1" t="s">
        <v>0</v>
      </c>
      <c r="C1" t="s">
        <v>1</v>
      </c>
      <c r="E1" s="11" t="s">
        <v>0</v>
      </c>
      <c r="J1" s="11" t="s">
        <v>0</v>
      </c>
      <c r="N1" s="11" t="s">
        <v>43</v>
      </c>
      <c r="R1" s="11" t="s">
        <v>19</v>
      </c>
    </row>
    <row r="2" spans="1:21" x14ac:dyDescent="0.2">
      <c r="A2">
        <v>1</v>
      </c>
      <c r="B2">
        <v>80</v>
      </c>
      <c r="C2">
        <v>61</v>
      </c>
      <c r="E2" s="3" t="s">
        <v>26</v>
      </c>
      <c r="F2" s="4" t="s">
        <v>3</v>
      </c>
      <c r="G2" s="5">
        <v>0.3</v>
      </c>
      <c r="H2" s="6"/>
      <c r="J2" s="13" t="s">
        <v>10</v>
      </c>
      <c r="K2" s="14">
        <f>SQRT(2*G8*52*G6/G4/G7)</f>
        <v>330.40535991922718</v>
      </c>
      <c r="L2" s="15" t="s">
        <v>41</v>
      </c>
      <c r="N2" s="6" t="s">
        <v>37</v>
      </c>
      <c r="O2" s="6" t="s">
        <v>16</v>
      </c>
      <c r="P2" s="17">
        <f>G9/2*G4*G7</f>
        <v>243.6</v>
      </c>
      <c r="R2" s="6" t="s">
        <v>55</v>
      </c>
      <c r="S2" s="6" t="s">
        <v>20</v>
      </c>
      <c r="T2" s="19">
        <v>0.98</v>
      </c>
      <c r="U2" s="6"/>
    </row>
    <row r="3" spans="1:21" x14ac:dyDescent="0.2">
      <c r="A3">
        <v>2</v>
      </c>
      <c r="B3">
        <v>143</v>
      </c>
      <c r="C3">
        <v>86</v>
      </c>
      <c r="E3" s="3" t="s">
        <v>27</v>
      </c>
      <c r="F3" s="4" t="s">
        <v>4</v>
      </c>
      <c r="G3" s="7">
        <v>16</v>
      </c>
      <c r="H3" s="6"/>
      <c r="J3" s="13" t="s">
        <v>25</v>
      </c>
      <c r="K3" s="14">
        <f>SQRT(G8*52*G4*G7/2/G6)</f>
        <v>20.637627096493265</v>
      </c>
      <c r="L3" s="16" t="s">
        <v>42</v>
      </c>
      <c r="N3" s="6" t="s">
        <v>38</v>
      </c>
      <c r="O3" s="6" t="s">
        <v>17</v>
      </c>
      <c r="P3" s="17">
        <f>G8*52*G6/G9</f>
        <v>1181.9223188405797</v>
      </c>
      <c r="R3" s="6" t="s">
        <v>56</v>
      </c>
      <c r="S3" s="6" t="s">
        <v>21</v>
      </c>
      <c r="T3" s="6">
        <v>2.0550000000000002</v>
      </c>
      <c r="U3" s="6"/>
    </row>
    <row r="4" spans="1:21" x14ac:dyDescent="0.2">
      <c r="A4">
        <v>3</v>
      </c>
      <c r="B4">
        <v>123</v>
      </c>
      <c r="C4">
        <v>78</v>
      </c>
      <c r="E4" s="3" t="s">
        <v>29</v>
      </c>
      <c r="F4" s="4" t="s">
        <v>5</v>
      </c>
      <c r="G4" s="8">
        <f>(1-G2)*G3</f>
        <v>11.2</v>
      </c>
      <c r="H4" s="6"/>
      <c r="N4" s="6" t="s">
        <v>39</v>
      </c>
      <c r="O4" s="6" t="s">
        <v>18</v>
      </c>
      <c r="P4" s="17">
        <f>P3+P2</f>
        <v>1425.5223188405796</v>
      </c>
      <c r="R4" s="6" t="s">
        <v>57</v>
      </c>
      <c r="S4" s="6" t="s">
        <v>22</v>
      </c>
      <c r="T4" s="20">
        <f>_xlfn.STDEV.S(B2:B24)</f>
        <v>34.892437768644577</v>
      </c>
      <c r="U4" s="6" t="s">
        <v>13</v>
      </c>
    </row>
    <row r="5" spans="1:21" x14ac:dyDescent="0.2">
      <c r="A5">
        <v>4</v>
      </c>
      <c r="B5">
        <v>157</v>
      </c>
      <c r="C5">
        <v>92</v>
      </c>
      <c r="E5" s="3" t="s">
        <v>28</v>
      </c>
      <c r="F5" s="4" t="s">
        <v>6</v>
      </c>
      <c r="G5" s="4">
        <v>1</v>
      </c>
      <c r="H5" s="6" t="s">
        <v>7</v>
      </c>
      <c r="R5" s="6" t="s">
        <v>58</v>
      </c>
      <c r="S5" s="6" t="s">
        <v>23</v>
      </c>
      <c r="T5" s="6">
        <v>1</v>
      </c>
      <c r="U5" s="6" t="s">
        <v>7</v>
      </c>
    </row>
    <row r="6" spans="1:21" x14ac:dyDescent="0.2">
      <c r="A6">
        <v>5</v>
      </c>
      <c r="B6">
        <v>144</v>
      </c>
      <c r="C6">
        <v>87</v>
      </c>
      <c r="E6" s="3" t="s">
        <v>30</v>
      </c>
      <c r="F6" s="4" t="s">
        <v>8</v>
      </c>
      <c r="G6" s="7">
        <v>26</v>
      </c>
      <c r="H6" s="6"/>
      <c r="N6" s="11" t="s">
        <v>44</v>
      </c>
    </row>
    <row r="7" spans="1:21" x14ac:dyDescent="0.2">
      <c r="A7">
        <v>6</v>
      </c>
      <c r="B7">
        <v>139</v>
      </c>
      <c r="C7">
        <v>85</v>
      </c>
      <c r="E7" s="3" t="s">
        <v>31</v>
      </c>
      <c r="F7" s="4" t="s">
        <v>9</v>
      </c>
      <c r="G7" s="5">
        <v>0.28999999999999998</v>
      </c>
      <c r="H7" s="6" t="s">
        <v>40</v>
      </c>
      <c r="N7" s="6" t="s">
        <v>37</v>
      </c>
      <c r="O7" s="6" t="s">
        <v>34</v>
      </c>
      <c r="P7" s="17">
        <f>K2/2*G4*G7</f>
        <v>536.57830450882489</v>
      </c>
      <c r="R7" s="21" t="s">
        <v>24</v>
      </c>
      <c r="S7" s="33">
        <f>T3*T4*SQRT(G5/T5)</f>
        <v>71.70395961456461</v>
      </c>
      <c r="T7" s="34"/>
      <c r="U7" s="21" t="s">
        <v>13</v>
      </c>
    </row>
    <row r="8" spans="1:21" x14ac:dyDescent="0.2">
      <c r="A8">
        <v>7</v>
      </c>
      <c r="B8">
        <v>132</v>
      </c>
      <c r="C8">
        <v>82</v>
      </c>
      <c r="E8" s="3" t="s">
        <v>32</v>
      </c>
      <c r="F8" s="4" t="s">
        <v>11</v>
      </c>
      <c r="G8" s="9">
        <f>SUM(B2:B24)/23</f>
        <v>131.13043478260869</v>
      </c>
      <c r="H8" s="6" t="s">
        <v>50</v>
      </c>
      <c r="N8" s="6" t="s">
        <v>38</v>
      </c>
      <c r="O8" s="6" t="s">
        <v>35</v>
      </c>
      <c r="P8" s="17">
        <f>G8*52*G6/K2</f>
        <v>536.57830450882477</v>
      </c>
    </row>
    <row r="9" spans="1:21" x14ac:dyDescent="0.2">
      <c r="A9">
        <v>8</v>
      </c>
      <c r="B9">
        <v>165</v>
      </c>
      <c r="C9">
        <v>95</v>
      </c>
      <c r="E9" s="3" t="s">
        <v>33</v>
      </c>
      <c r="F9" s="4" t="s">
        <v>14</v>
      </c>
      <c r="G9" s="10">
        <v>150</v>
      </c>
      <c r="H9" s="6" t="s">
        <v>13</v>
      </c>
      <c r="N9" s="6" t="s">
        <v>39</v>
      </c>
      <c r="O9" s="6" t="s">
        <v>36</v>
      </c>
      <c r="P9" s="17">
        <f>P8+P7</f>
        <v>1073.1566090176498</v>
      </c>
    </row>
    <row r="10" spans="1:21" x14ac:dyDescent="0.2">
      <c r="A10">
        <v>9</v>
      </c>
      <c r="B10">
        <v>159</v>
      </c>
      <c r="C10">
        <v>92</v>
      </c>
    </row>
    <row r="11" spans="1:21" x14ac:dyDescent="0.2">
      <c r="A11">
        <v>10</v>
      </c>
      <c r="B11">
        <v>153</v>
      </c>
      <c r="C11">
        <v>90</v>
      </c>
      <c r="E11" s="11" t="s">
        <v>1</v>
      </c>
      <c r="J11" s="11" t="s">
        <v>1</v>
      </c>
      <c r="N11" s="11" t="s">
        <v>45</v>
      </c>
      <c r="R11" s="11" t="s">
        <v>19</v>
      </c>
    </row>
    <row r="12" spans="1:21" x14ac:dyDescent="0.2">
      <c r="A12">
        <v>11</v>
      </c>
      <c r="B12">
        <v>121</v>
      </c>
      <c r="C12">
        <v>77</v>
      </c>
      <c r="E12" s="3" t="s">
        <v>26</v>
      </c>
      <c r="F12" s="4" t="s">
        <v>3</v>
      </c>
      <c r="G12" s="5">
        <v>0.2</v>
      </c>
      <c r="H12" s="6"/>
      <c r="J12" s="13" t="s">
        <v>10</v>
      </c>
      <c r="K12" s="14">
        <f>SQRT(2*G18*G16/G14/G17*52)</f>
        <v>339.89140249303779</v>
      </c>
      <c r="L12" s="15" t="s">
        <v>41</v>
      </c>
      <c r="N12" s="6" t="s">
        <v>37</v>
      </c>
      <c r="O12" s="6" t="s">
        <v>16</v>
      </c>
      <c r="P12" s="17">
        <f>G19/2*G14*G17</f>
        <v>584.64</v>
      </c>
      <c r="R12" s="6" t="s">
        <v>55</v>
      </c>
      <c r="S12" s="6" t="s">
        <v>20</v>
      </c>
      <c r="T12" s="19">
        <v>0.98</v>
      </c>
      <c r="U12" s="6"/>
    </row>
    <row r="13" spans="1:21" x14ac:dyDescent="0.2">
      <c r="A13">
        <v>12</v>
      </c>
      <c r="B13">
        <v>162</v>
      </c>
      <c r="C13">
        <v>94</v>
      </c>
      <c r="E13" s="3" t="s">
        <v>27</v>
      </c>
      <c r="F13" s="4" t="s">
        <v>4</v>
      </c>
      <c r="G13" s="7">
        <v>8.4</v>
      </c>
      <c r="H13" s="6"/>
      <c r="J13" s="13" t="s">
        <v>25</v>
      </c>
      <c r="K13" s="14">
        <f>SQRT(G18*52*G14*G17/2/G16)</f>
        <v>12.738083945739078</v>
      </c>
      <c r="L13" s="16" t="s">
        <v>42</v>
      </c>
      <c r="N13" s="6" t="s">
        <v>38</v>
      </c>
      <c r="O13" s="6" t="s">
        <v>17</v>
      </c>
      <c r="P13" s="17">
        <f>G18*52*G16/G19</f>
        <v>187.61449275362318</v>
      </c>
      <c r="R13" s="6" t="s">
        <v>56</v>
      </c>
      <c r="S13" s="6" t="s">
        <v>21</v>
      </c>
      <c r="T13" s="6">
        <v>2.0550000000000002</v>
      </c>
      <c r="U13" s="6"/>
    </row>
    <row r="14" spans="1:21" x14ac:dyDescent="0.2">
      <c r="A14">
        <v>13</v>
      </c>
      <c r="B14">
        <v>151</v>
      </c>
      <c r="C14">
        <v>89</v>
      </c>
      <c r="E14" s="3" t="s">
        <v>29</v>
      </c>
      <c r="F14" s="4" t="s">
        <v>5</v>
      </c>
      <c r="G14" s="8">
        <f>(1-G12)*G13</f>
        <v>6.7200000000000006</v>
      </c>
      <c r="H14" s="6"/>
      <c r="N14" s="6" t="s">
        <v>39</v>
      </c>
      <c r="O14" s="6" t="s">
        <v>18</v>
      </c>
      <c r="P14" s="17">
        <f>P12+P13</f>
        <v>772.25449275362314</v>
      </c>
      <c r="R14" s="6" t="s">
        <v>57</v>
      </c>
      <c r="S14" s="6" t="s">
        <v>22</v>
      </c>
      <c r="T14" s="20">
        <f>_xlfn.STDEV.S(C2:C24)</f>
        <v>9.3479088147824001</v>
      </c>
      <c r="U14" s="6" t="s">
        <v>13</v>
      </c>
    </row>
    <row r="15" spans="1:21" x14ac:dyDescent="0.2">
      <c r="A15">
        <v>14</v>
      </c>
      <c r="B15">
        <v>141</v>
      </c>
      <c r="C15">
        <v>85</v>
      </c>
      <c r="E15" s="3" t="s">
        <v>28</v>
      </c>
      <c r="F15" s="4" t="s">
        <v>6</v>
      </c>
      <c r="G15" s="4">
        <v>2</v>
      </c>
      <c r="H15" s="6" t="s">
        <v>12</v>
      </c>
      <c r="R15" s="6" t="s">
        <v>58</v>
      </c>
      <c r="S15" s="6" t="s">
        <v>23</v>
      </c>
      <c r="T15" s="6">
        <v>1</v>
      </c>
      <c r="U15" s="6" t="s">
        <v>7</v>
      </c>
    </row>
    <row r="16" spans="1:21" x14ac:dyDescent="0.2">
      <c r="A16">
        <v>15</v>
      </c>
      <c r="B16">
        <v>130</v>
      </c>
      <c r="C16">
        <v>81</v>
      </c>
      <c r="E16" s="3" t="s">
        <v>30</v>
      </c>
      <c r="F16" s="4" t="s">
        <v>8</v>
      </c>
      <c r="G16" s="7">
        <v>26</v>
      </c>
      <c r="H16" s="6"/>
      <c r="N16" s="11" t="s">
        <v>46</v>
      </c>
    </row>
    <row r="17" spans="1:21" x14ac:dyDescent="0.2">
      <c r="A17">
        <v>16</v>
      </c>
      <c r="B17">
        <v>97</v>
      </c>
      <c r="C17">
        <v>68</v>
      </c>
      <c r="E17" s="3" t="s">
        <v>31</v>
      </c>
      <c r="F17" s="4" t="s">
        <v>9</v>
      </c>
      <c r="G17" s="5">
        <v>0.28999999999999998</v>
      </c>
      <c r="H17" s="6" t="s">
        <v>40</v>
      </c>
      <c r="N17" s="6" t="s">
        <v>37</v>
      </c>
      <c r="O17" s="6" t="s">
        <v>34</v>
      </c>
      <c r="P17" s="17">
        <f>K12/2*G14*G17</f>
        <v>331.19018258921602</v>
      </c>
      <c r="R17" s="21" t="s">
        <v>24</v>
      </c>
      <c r="S17" s="35">
        <f>T13*T14*SQRT(G15/T15)</f>
        <v>27.166975519797628</v>
      </c>
      <c r="T17" s="36"/>
      <c r="U17" s="21" t="s">
        <v>13</v>
      </c>
    </row>
    <row r="18" spans="1:21" x14ac:dyDescent="0.2">
      <c r="A18">
        <v>17</v>
      </c>
      <c r="B18">
        <v>113</v>
      </c>
      <c r="C18">
        <v>74</v>
      </c>
      <c r="E18" s="3" t="s">
        <v>32</v>
      </c>
      <c r="F18" s="4" t="s">
        <v>11</v>
      </c>
      <c r="G18" s="12">
        <f>SUM(C2:C24)/23</f>
        <v>83.260869565217391</v>
      </c>
      <c r="H18" s="6" t="s">
        <v>50</v>
      </c>
      <c r="N18" s="6" t="s">
        <v>38</v>
      </c>
      <c r="O18" s="6" t="s">
        <v>35</v>
      </c>
      <c r="P18" s="17">
        <f>G18*52*G16/K12</f>
        <v>331.19018258921602</v>
      </c>
    </row>
    <row r="19" spans="1:21" x14ac:dyDescent="0.2">
      <c r="A19">
        <v>18</v>
      </c>
      <c r="B19">
        <v>133</v>
      </c>
      <c r="C19">
        <v>82</v>
      </c>
      <c r="E19" s="3" t="s">
        <v>33</v>
      </c>
      <c r="F19" s="4" t="s">
        <v>14</v>
      </c>
      <c r="G19" s="4">
        <v>600</v>
      </c>
      <c r="H19" s="6" t="s">
        <v>13</v>
      </c>
      <c r="N19" s="6" t="s">
        <v>39</v>
      </c>
      <c r="O19" s="6" t="s">
        <v>36</v>
      </c>
      <c r="P19" s="17">
        <f>P17+P18</f>
        <v>662.38036517843204</v>
      </c>
    </row>
    <row r="20" spans="1:21" x14ac:dyDescent="0.2">
      <c r="A20">
        <v>19</v>
      </c>
      <c r="B20">
        <v>119</v>
      </c>
      <c r="C20">
        <v>77</v>
      </c>
    </row>
    <row r="21" spans="1:21" x14ac:dyDescent="0.2">
      <c r="A21">
        <v>20</v>
      </c>
      <c r="B21">
        <v>121</v>
      </c>
      <c r="C21">
        <v>77</v>
      </c>
    </row>
    <row r="22" spans="1:21" x14ac:dyDescent="0.2">
      <c r="A22">
        <v>21</v>
      </c>
      <c r="B22">
        <v>185</v>
      </c>
      <c r="C22">
        <v>103</v>
      </c>
    </row>
    <row r="23" spans="1:21" x14ac:dyDescent="0.2">
      <c r="A23">
        <v>22</v>
      </c>
      <c r="B23">
        <v>137</v>
      </c>
      <c r="C23">
        <v>84</v>
      </c>
    </row>
    <row r="24" spans="1:21" x14ac:dyDescent="0.2">
      <c r="A24">
        <v>23</v>
      </c>
      <c r="B24">
        <v>11</v>
      </c>
      <c r="C24">
        <v>76</v>
      </c>
    </row>
    <row r="25" spans="1:21" x14ac:dyDescent="0.2">
      <c r="B25">
        <f>SUM(B2:B24)</f>
        <v>3016</v>
      </c>
      <c r="C25">
        <f>SUM(C2:C24)</f>
        <v>1915</v>
      </c>
    </row>
  </sheetData>
  <mergeCells count="2">
    <mergeCell ref="S7:T7"/>
    <mergeCell ref="S17:T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8" workbookViewId="0">
      <selection activeCell="P11" sqref="P11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4" x14ac:dyDescent="0.2">
      <c r="A1" s="6" t="s">
        <v>62</v>
      </c>
      <c r="B1" s="4" t="s">
        <v>11</v>
      </c>
      <c r="C1" s="20">
        <f>'Lote econômico'!G18</f>
        <v>83.260869565217391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74</v>
      </c>
      <c r="N1" s="30" t="s">
        <v>47</v>
      </c>
    </row>
    <row r="2" spans="1:14" x14ac:dyDescent="0.2">
      <c r="A2" s="6" t="s">
        <v>28</v>
      </c>
      <c r="B2" s="4" t="s">
        <v>6</v>
      </c>
      <c r="C2" s="6">
        <f>'Lote econômico'!G15</f>
        <v>2</v>
      </c>
      <c r="D2" s="6" t="s">
        <v>12</v>
      </c>
      <c r="G2" s="4">
        <v>1</v>
      </c>
      <c r="H2" s="4">
        <v>61</v>
      </c>
      <c r="I2" s="4">
        <v>1</v>
      </c>
      <c r="J2" s="4">
        <v>12</v>
      </c>
      <c r="K2" s="4">
        <v>220</v>
      </c>
      <c r="L2" s="4">
        <f>K2-J2</f>
        <v>208</v>
      </c>
      <c r="M2" s="4" t="s">
        <v>75</v>
      </c>
      <c r="N2" s="32">
        <f>CEILING(C1*(C2+C7/5)-L2+C3,1)</f>
        <v>327</v>
      </c>
    </row>
    <row r="3" spans="1:14" x14ac:dyDescent="0.2">
      <c r="A3" s="6" t="s">
        <v>19</v>
      </c>
      <c r="B3" s="4" t="s">
        <v>63</v>
      </c>
      <c r="C3" s="25">
        <f>CEILING('Lote econômico'!S17,1)</f>
        <v>28</v>
      </c>
      <c r="D3" s="6" t="s">
        <v>13</v>
      </c>
      <c r="G3" s="4"/>
      <c r="H3" s="4"/>
      <c r="I3" s="4">
        <v>2</v>
      </c>
      <c r="J3" s="4">
        <v>12</v>
      </c>
      <c r="K3" s="4">
        <f>L2</f>
        <v>208</v>
      </c>
      <c r="L3" s="4">
        <f>K3-J3</f>
        <v>196</v>
      </c>
      <c r="M3" s="4" t="s">
        <v>69</v>
      </c>
      <c r="N3" s="4" t="s">
        <v>69</v>
      </c>
    </row>
    <row r="4" spans="1:14" x14ac:dyDescent="0.2">
      <c r="A4" s="28" t="s">
        <v>15</v>
      </c>
      <c r="B4" s="4" t="s">
        <v>10</v>
      </c>
      <c r="C4" s="6">
        <f>CEILING('Lote econômico'!K12,1)</f>
        <v>340</v>
      </c>
      <c r="D4" s="28" t="s">
        <v>13</v>
      </c>
      <c r="G4" s="4"/>
      <c r="H4" s="4"/>
      <c r="I4" s="4">
        <v>3</v>
      </c>
      <c r="J4" s="4">
        <v>13</v>
      </c>
      <c r="K4" s="4">
        <f t="shared" ref="K4:K26" si="0">L3</f>
        <v>196</v>
      </c>
      <c r="L4" s="4">
        <f t="shared" ref="L4:L26" si="1">K4-J4</f>
        <v>183</v>
      </c>
      <c r="M4" s="4" t="s">
        <v>69</v>
      </c>
      <c r="N4" s="4" t="s">
        <v>69</v>
      </c>
    </row>
    <row r="5" spans="1:14" x14ac:dyDescent="0.2">
      <c r="A5" s="28" t="s">
        <v>70</v>
      </c>
      <c r="B5" s="4" t="s">
        <v>25</v>
      </c>
      <c r="C5" s="27">
        <f>'Lote econômico'!K13</f>
        <v>12.738083945739078</v>
      </c>
      <c r="D5" s="28" t="s">
        <v>42</v>
      </c>
      <c r="G5" s="4"/>
      <c r="H5" s="4"/>
      <c r="I5" s="4">
        <v>4</v>
      </c>
      <c r="J5" s="4">
        <v>12</v>
      </c>
      <c r="K5" s="4">
        <f t="shared" si="0"/>
        <v>183</v>
      </c>
      <c r="L5" s="4">
        <f t="shared" si="1"/>
        <v>171</v>
      </c>
      <c r="M5" s="4" t="s">
        <v>69</v>
      </c>
      <c r="N5" s="4" t="s">
        <v>69</v>
      </c>
    </row>
    <row r="6" spans="1:14" x14ac:dyDescent="0.2">
      <c r="G6" s="4"/>
      <c r="H6" s="4"/>
      <c r="I6" s="4">
        <v>5</v>
      </c>
      <c r="J6" s="4">
        <v>12</v>
      </c>
      <c r="K6" s="4">
        <f t="shared" si="0"/>
        <v>171</v>
      </c>
      <c r="L6" s="4">
        <f t="shared" si="1"/>
        <v>159</v>
      </c>
      <c r="M6" s="4" t="s">
        <v>69</v>
      </c>
      <c r="N6" s="4" t="s">
        <v>69</v>
      </c>
    </row>
    <row r="7" spans="1:14" x14ac:dyDescent="0.2">
      <c r="A7" s="21" t="s">
        <v>71</v>
      </c>
      <c r="B7" s="18" t="s">
        <v>72</v>
      </c>
      <c r="C7" s="29">
        <f>260/C5</f>
        <v>20.411233047884778</v>
      </c>
      <c r="D7" s="21" t="s">
        <v>73</v>
      </c>
      <c r="G7" s="4">
        <v>2</v>
      </c>
      <c r="H7" s="4">
        <v>86</v>
      </c>
      <c r="I7" s="4">
        <v>1</v>
      </c>
      <c r="J7" s="4">
        <v>17</v>
      </c>
      <c r="K7" s="4">
        <f t="shared" si="0"/>
        <v>159</v>
      </c>
      <c r="L7" s="4">
        <f t="shared" si="1"/>
        <v>142</v>
      </c>
      <c r="M7" s="4" t="s">
        <v>69</v>
      </c>
      <c r="N7" s="4" t="s">
        <v>69</v>
      </c>
    </row>
    <row r="8" spans="1:14" x14ac:dyDescent="0.2">
      <c r="G8" s="4"/>
      <c r="H8" s="4"/>
      <c r="I8" s="4">
        <v>2</v>
      </c>
      <c r="J8" s="4">
        <v>17</v>
      </c>
      <c r="K8" s="4">
        <f t="shared" si="0"/>
        <v>142</v>
      </c>
      <c r="L8" s="4">
        <f t="shared" si="1"/>
        <v>125</v>
      </c>
      <c r="M8" s="4" t="s">
        <v>69</v>
      </c>
      <c r="N8" s="4" t="s">
        <v>69</v>
      </c>
    </row>
    <row r="9" spans="1:14" x14ac:dyDescent="0.2">
      <c r="G9" s="4"/>
      <c r="H9" s="4"/>
      <c r="I9" s="4">
        <v>3</v>
      </c>
      <c r="J9" s="4">
        <v>18</v>
      </c>
      <c r="K9" s="4">
        <f t="shared" si="0"/>
        <v>125</v>
      </c>
      <c r="L9" s="4">
        <f t="shared" si="1"/>
        <v>107</v>
      </c>
      <c r="M9" s="4" t="s">
        <v>69</v>
      </c>
      <c r="N9" s="4" t="s">
        <v>69</v>
      </c>
    </row>
    <row r="10" spans="1:14" x14ac:dyDescent="0.2">
      <c r="G10" s="4"/>
      <c r="H10" s="4"/>
      <c r="I10" s="4">
        <v>4</v>
      </c>
      <c r="J10" s="4">
        <v>17</v>
      </c>
      <c r="K10" s="4">
        <f t="shared" si="0"/>
        <v>107</v>
      </c>
      <c r="L10" s="4">
        <f t="shared" si="1"/>
        <v>90</v>
      </c>
      <c r="M10" s="4" t="s">
        <v>69</v>
      </c>
      <c r="N10" s="4" t="s">
        <v>69</v>
      </c>
    </row>
    <row r="11" spans="1:14" x14ac:dyDescent="0.2">
      <c r="G11" s="4"/>
      <c r="H11" s="4"/>
      <c r="I11" s="4">
        <v>5</v>
      </c>
      <c r="J11" s="4">
        <v>17</v>
      </c>
      <c r="K11" s="4">
        <f t="shared" si="0"/>
        <v>90</v>
      </c>
      <c r="L11" s="4">
        <f t="shared" si="1"/>
        <v>73</v>
      </c>
      <c r="M11" s="4" t="s">
        <v>69</v>
      </c>
      <c r="N11" s="4" t="s">
        <v>69</v>
      </c>
    </row>
    <row r="12" spans="1:14" x14ac:dyDescent="0.2">
      <c r="G12" s="4">
        <v>3</v>
      </c>
      <c r="H12" s="4">
        <v>78</v>
      </c>
      <c r="I12" s="4">
        <v>1</v>
      </c>
      <c r="J12" s="4">
        <v>16</v>
      </c>
      <c r="K12" s="4">
        <f t="shared" si="0"/>
        <v>73</v>
      </c>
      <c r="L12" s="32">
        <f>K12-J12+N2</f>
        <v>384</v>
      </c>
      <c r="M12" s="4" t="s">
        <v>69</v>
      </c>
      <c r="N12" s="4" t="s">
        <v>69</v>
      </c>
    </row>
    <row r="13" spans="1:14" x14ac:dyDescent="0.2">
      <c r="G13" s="4"/>
      <c r="H13" s="4"/>
      <c r="I13" s="4">
        <v>2</v>
      </c>
      <c r="J13" s="4">
        <v>15</v>
      </c>
      <c r="K13" s="4">
        <f t="shared" si="0"/>
        <v>384</v>
      </c>
      <c r="L13" s="4">
        <f t="shared" si="1"/>
        <v>369</v>
      </c>
      <c r="M13" s="4" t="s">
        <v>69</v>
      </c>
      <c r="N13" s="4" t="s">
        <v>69</v>
      </c>
    </row>
    <row r="14" spans="1:14" x14ac:dyDescent="0.2">
      <c r="G14" s="4"/>
      <c r="H14" s="4"/>
      <c r="I14" s="4">
        <v>3</v>
      </c>
      <c r="J14" s="4">
        <v>16</v>
      </c>
      <c r="K14" s="4">
        <f t="shared" si="0"/>
        <v>369</v>
      </c>
      <c r="L14" s="4">
        <f t="shared" si="1"/>
        <v>353</v>
      </c>
      <c r="M14" s="4" t="s">
        <v>69</v>
      </c>
      <c r="N14" s="4" t="s">
        <v>69</v>
      </c>
    </row>
    <row r="15" spans="1:14" x14ac:dyDescent="0.2">
      <c r="G15" s="4"/>
      <c r="H15" s="4"/>
      <c r="I15" s="4">
        <v>4</v>
      </c>
      <c r="J15" s="4">
        <v>15</v>
      </c>
      <c r="K15" s="4">
        <f t="shared" si="0"/>
        <v>353</v>
      </c>
      <c r="L15" s="4">
        <f t="shared" si="1"/>
        <v>338</v>
      </c>
      <c r="M15" s="4" t="s">
        <v>69</v>
      </c>
      <c r="N15" s="4" t="s">
        <v>69</v>
      </c>
    </row>
    <row r="16" spans="1:14" x14ac:dyDescent="0.2">
      <c r="G16" s="4"/>
      <c r="H16" s="4"/>
      <c r="I16" s="4">
        <v>5</v>
      </c>
      <c r="J16" s="4">
        <v>16</v>
      </c>
      <c r="K16" s="4">
        <f t="shared" si="0"/>
        <v>338</v>
      </c>
      <c r="L16" s="4">
        <f t="shared" si="1"/>
        <v>322</v>
      </c>
      <c r="M16" s="4" t="s">
        <v>69</v>
      </c>
      <c r="N16" s="4" t="s">
        <v>69</v>
      </c>
    </row>
    <row r="17" spans="7:14" x14ac:dyDescent="0.2">
      <c r="G17" s="4">
        <v>4</v>
      </c>
      <c r="H17" s="4">
        <v>92</v>
      </c>
      <c r="I17" s="4">
        <v>1</v>
      </c>
      <c r="J17" s="4">
        <v>18</v>
      </c>
      <c r="K17" s="4">
        <f t="shared" si="0"/>
        <v>322</v>
      </c>
      <c r="L17" s="4">
        <f t="shared" si="1"/>
        <v>304</v>
      </c>
      <c r="M17" s="4" t="s">
        <v>69</v>
      </c>
      <c r="N17" s="4" t="s">
        <v>69</v>
      </c>
    </row>
    <row r="18" spans="7:14" x14ac:dyDescent="0.2">
      <c r="G18" s="4"/>
      <c r="H18" s="4"/>
      <c r="I18" s="4">
        <v>2</v>
      </c>
      <c r="J18" s="4">
        <v>19</v>
      </c>
      <c r="K18" s="4">
        <f t="shared" si="0"/>
        <v>304</v>
      </c>
      <c r="L18" s="4">
        <f t="shared" si="1"/>
        <v>285</v>
      </c>
      <c r="M18" s="4" t="s">
        <v>69</v>
      </c>
      <c r="N18" s="4" t="s">
        <v>69</v>
      </c>
    </row>
    <row r="19" spans="7:14" x14ac:dyDescent="0.2">
      <c r="G19" s="4"/>
      <c r="H19" s="4"/>
      <c r="I19" s="4">
        <v>3</v>
      </c>
      <c r="J19" s="4">
        <v>18</v>
      </c>
      <c r="K19" s="4">
        <f t="shared" si="0"/>
        <v>285</v>
      </c>
      <c r="L19" s="4">
        <f t="shared" si="1"/>
        <v>267</v>
      </c>
      <c r="M19" s="4" t="s">
        <v>69</v>
      </c>
      <c r="N19" s="4" t="s">
        <v>69</v>
      </c>
    </row>
    <row r="20" spans="7:14" x14ac:dyDescent="0.2">
      <c r="G20" s="4"/>
      <c r="H20" s="4"/>
      <c r="I20" s="4">
        <v>4</v>
      </c>
      <c r="J20" s="4">
        <v>19</v>
      </c>
      <c r="K20" s="4">
        <f t="shared" si="0"/>
        <v>267</v>
      </c>
      <c r="L20" s="4">
        <f t="shared" si="1"/>
        <v>248</v>
      </c>
      <c r="M20" s="4" t="s">
        <v>69</v>
      </c>
      <c r="N20" s="4" t="s">
        <v>69</v>
      </c>
    </row>
    <row r="21" spans="7:14" x14ac:dyDescent="0.2">
      <c r="G21" s="4"/>
      <c r="H21" s="4"/>
      <c r="I21" s="4">
        <v>5</v>
      </c>
      <c r="J21" s="4">
        <v>18</v>
      </c>
      <c r="K21" s="4">
        <f t="shared" si="0"/>
        <v>248</v>
      </c>
      <c r="L21" s="4">
        <f t="shared" si="1"/>
        <v>230</v>
      </c>
      <c r="M21" s="4" t="s">
        <v>69</v>
      </c>
      <c r="N21" s="4" t="s">
        <v>69</v>
      </c>
    </row>
    <row r="22" spans="7:14" x14ac:dyDescent="0.2">
      <c r="G22" s="4">
        <v>5</v>
      </c>
      <c r="H22" s="4">
        <v>87</v>
      </c>
      <c r="I22" s="4">
        <v>1</v>
      </c>
      <c r="J22" s="4">
        <v>17</v>
      </c>
      <c r="K22" s="4">
        <f t="shared" si="0"/>
        <v>230</v>
      </c>
      <c r="L22" s="4">
        <f t="shared" si="1"/>
        <v>213</v>
      </c>
      <c r="M22" s="4" t="s">
        <v>75</v>
      </c>
      <c r="N22" s="32">
        <f>CEILING(C1*(C2+C7/5)-L22+C3,1)</f>
        <v>322</v>
      </c>
    </row>
    <row r="23" spans="7:14" x14ac:dyDescent="0.2">
      <c r="G23" s="4"/>
      <c r="H23" s="4"/>
      <c r="I23" s="4">
        <v>2</v>
      </c>
      <c r="J23" s="4">
        <v>18</v>
      </c>
      <c r="K23" s="4">
        <f t="shared" si="0"/>
        <v>213</v>
      </c>
      <c r="L23" s="4">
        <f t="shared" si="1"/>
        <v>195</v>
      </c>
      <c r="M23" s="4" t="s">
        <v>69</v>
      </c>
      <c r="N23" s="4" t="s">
        <v>69</v>
      </c>
    </row>
    <row r="24" spans="7:14" x14ac:dyDescent="0.2">
      <c r="G24" s="4"/>
      <c r="H24" s="4"/>
      <c r="I24" s="4">
        <v>3</v>
      </c>
      <c r="J24" s="4">
        <v>17</v>
      </c>
      <c r="K24" s="4">
        <f t="shared" si="0"/>
        <v>195</v>
      </c>
      <c r="L24" s="4">
        <f t="shared" si="1"/>
        <v>178</v>
      </c>
      <c r="M24" s="4" t="s">
        <v>69</v>
      </c>
      <c r="N24" s="4" t="s">
        <v>69</v>
      </c>
    </row>
    <row r="25" spans="7:14" x14ac:dyDescent="0.2">
      <c r="G25" s="4"/>
      <c r="H25" s="4"/>
      <c r="I25" s="4">
        <v>4</v>
      </c>
      <c r="J25" s="4">
        <v>18</v>
      </c>
      <c r="K25" s="4">
        <f t="shared" si="0"/>
        <v>178</v>
      </c>
      <c r="L25" s="4">
        <f t="shared" si="1"/>
        <v>160</v>
      </c>
      <c r="M25" s="4" t="s">
        <v>69</v>
      </c>
      <c r="N25" s="4" t="s">
        <v>69</v>
      </c>
    </row>
    <row r="26" spans="7:14" x14ac:dyDescent="0.2">
      <c r="G26" s="4"/>
      <c r="H26" s="4"/>
      <c r="I26" s="4">
        <v>5</v>
      </c>
      <c r="J26" s="4">
        <v>17</v>
      </c>
      <c r="K26" s="4">
        <f t="shared" si="0"/>
        <v>160</v>
      </c>
      <c r="L26" s="4">
        <f t="shared" si="1"/>
        <v>143</v>
      </c>
      <c r="M26" s="4" t="s">
        <v>69</v>
      </c>
      <c r="N26" s="4" t="s">
        <v>69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L12" sqref="L12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4" t="s">
        <v>47</v>
      </c>
      <c r="B1" s="4" t="s">
        <v>51</v>
      </c>
      <c r="C1" s="4" t="s">
        <v>52</v>
      </c>
      <c r="D1" s="4" t="s">
        <v>49</v>
      </c>
    </row>
    <row r="2" spans="1:4" x14ac:dyDescent="0.2">
      <c r="A2" s="4">
        <v>50</v>
      </c>
      <c r="B2" s="8">
        <f>'Lote econômico'!$G$8*52*'Lote econômico'!$G$6/A2</f>
        <v>3545.7669565217388</v>
      </c>
      <c r="C2" s="8">
        <f>A2/2*'Lote econômico'!$G$4*'Lote econômico'!$G$7</f>
        <v>81.199999999999989</v>
      </c>
      <c r="D2" s="8">
        <f>B2+C2</f>
        <v>3626.9669565217387</v>
      </c>
    </row>
    <row r="3" spans="1:4" x14ac:dyDescent="0.2">
      <c r="A3" s="4">
        <v>100</v>
      </c>
      <c r="B3" s="8">
        <f>'Lote econômico'!$G$8*52*'Lote econômico'!$G$6/A3</f>
        <v>1772.8834782608694</v>
      </c>
      <c r="C3" s="8">
        <f>A3/2*'Lote econômico'!$G$4*'Lote econômico'!$G$7</f>
        <v>162.39999999999998</v>
      </c>
      <c r="D3" s="8">
        <f t="shared" ref="D3:D21" si="0">B3+C3</f>
        <v>1935.2834782608693</v>
      </c>
    </row>
    <row r="4" spans="1:4" x14ac:dyDescent="0.2">
      <c r="A4" s="4">
        <v>150</v>
      </c>
      <c r="B4" s="8">
        <f>'Lote econômico'!$G$8*52*'Lote econômico'!$G$6/A4</f>
        <v>1181.9223188405797</v>
      </c>
      <c r="C4" s="8">
        <f>A4/2*'Lote econômico'!$G$4*'Lote econômico'!$G$7</f>
        <v>243.6</v>
      </c>
      <c r="D4" s="8">
        <f t="shared" si="0"/>
        <v>1425.5223188405796</v>
      </c>
    </row>
    <row r="5" spans="1:4" x14ac:dyDescent="0.2">
      <c r="A5" s="4">
        <v>200</v>
      </c>
      <c r="B5" s="8">
        <f>'Lote econômico'!$G$8*52*'Lote econômico'!$G$6/A5</f>
        <v>886.44173913043471</v>
      </c>
      <c r="C5" s="8">
        <f>A5/2*'Lote econômico'!$G$4*'Lote econômico'!$G$7</f>
        <v>324.79999999999995</v>
      </c>
      <c r="D5" s="8">
        <f t="shared" si="0"/>
        <v>1211.2417391304348</v>
      </c>
    </row>
    <row r="6" spans="1:4" x14ac:dyDescent="0.2">
      <c r="A6" s="4">
        <v>250</v>
      </c>
      <c r="B6" s="8">
        <f>'Lote econômico'!$G$8*52*'Lote econômico'!$G$6/A6</f>
        <v>709.15339130434779</v>
      </c>
      <c r="C6" s="8">
        <f>A6/2*'Lote econômico'!$G$4*'Lote econômico'!$G$7</f>
        <v>406</v>
      </c>
      <c r="D6" s="8">
        <f t="shared" si="0"/>
        <v>1115.1533913043477</v>
      </c>
    </row>
    <row r="7" spans="1:4" x14ac:dyDescent="0.2">
      <c r="A7" s="4">
        <v>300</v>
      </c>
      <c r="B7" s="8">
        <f>'Lote econômico'!$G$8*52*'Lote econômico'!$G$6/A7</f>
        <v>590.96115942028985</v>
      </c>
      <c r="C7" s="8">
        <f>A7/2*'Lote econômico'!$G$4*'Lote econômico'!$G$7</f>
        <v>487.2</v>
      </c>
      <c r="D7" s="8">
        <f t="shared" si="0"/>
        <v>1078.1611594202898</v>
      </c>
    </row>
    <row r="8" spans="1:4" x14ac:dyDescent="0.2">
      <c r="A8" s="4">
        <v>350</v>
      </c>
      <c r="B8" s="8">
        <f>'Lote econômico'!$G$8*52*'Lote econômico'!$G$6/A8</f>
        <v>506.53813664596271</v>
      </c>
      <c r="C8" s="8">
        <f>A8/2*'Lote econômico'!$G$4*'Lote econômico'!$G$7</f>
        <v>568.39999999999986</v>
      </c>
      <c r="D8" s="8">
        <f t="shared" si="0"/>
        <v>1074.9381366459625</v>
      </c>
    </row>
    <row r="9" spans="1:4" x14ac:dyDescent="0.2">
      <c r="A9" s="4">
        <v>400</v>
      </c>
      <c r="B9" s="8">
        <f>'Lote econômico'!$G$8*52*'Lote econômico'!$G$6/A9</f>
        <v>443.22086956521736</v>
      </c>
      <c r="C9" s="8">
        <f>A9/2*'Lote econômico'!$G$4*'Lote econômico'!$G$7</f>
        <v>649.59999999999991</v>
      </c>
      <c r="D9" s="8">
        <f t="shared" si="0"/>
        <v>1092.8208695652172</v>
      </c>
    </row>
    <row r="10" spans="1:4" x14ac:dyDescent="0.2">
      <c r="A10" s="4">
        <v>450</v>
      </c>
      <c r="B10" s="8">
        <f>'Lote econômico'!$G$8*52*'Lote econômico'!$G$6/A10</f>
        <v>393.97410628019321</v>
      </c>
      <c r="C10" s="8">
        <f>A10/2*'Lote econômico'!$G$4*'Lote econômico'!$G$7</f>
        <v>730.8</v>
      </c>
      <c r="D10" s="8">
        <f t="shared" si="0"/>
        <v>1124.7741062801931</v>
      </c>
    </row>
    <row r="11" spans="1:4" x14ac:dyDescent="0.2">
      <c r="A11" s="4">
        <v>500</v>
      </c>
      <c r="B11" s="8">
        <f>'Lote econômico'!$G$8*52*'Lote econômico'!$G$6/A11</f>
        <v>354.5766956521739</v>
      </c>
      <c r="C11" s="8">
        <f>A11/2*'Lote econômico'!$G$4*'Lote econômico'!$G$7</f>
        <v>812</v>
      </c>
      <c r="D11" s="8">
        <f t="shared" si="0"/>
        <v>1166.5766956521738</v>
      </c>
    </row>
    <row r="12" spans="1:4" x14ac:dyDescent="0.2">
      <c r="A12" s="4">
        <v>550</v>
      </c>
      <c r="B12" s="8">
        <f>'Lote econômico'!$G$8*52*'Lote econômico'!$G$6/A12</f>
        <v>322.34245059288537</v>
      </c>
      <c r="C12" s="8">
        <f>A12/2*'Lote econômico'!$G$4*'Lote econômico'!$G$7</f>
        <v>893.19999999999993</v>
      </c>
      <c r="D12" s="8">
        <f t="shared" si="0"/>
        <v>1215.5424505928854</v>
      </c>
    </row>
    <row r="13" spans="1:4" x14ac:dyDescent="0.2">
      <c r="A13" s="4">
        <v>600</v>
      </c>
      <c r="B13" s="8">
        <f>'Lote econômico'!$G$8*52*'Lote econômico'!$G$6/A13</f>
        <v>295.48057971014492</v>
      </c>
      <c r="C13" s="8">
        <f>A13/2*'Lote econômico'!$G$4*'Lote econômico'!$G$7</f>
        <v>974.4</v>
      </c>
      <c r="D13" s="8">
        <f t="shared" si="0"/>
        <v>1269.880579710145</v>
      </c>
    </row>
    <row r="14" spans="1:4" x14ac:dyDescent="0.2">
      <c r="A14" s="4">
        <v>650</v>
      </c>
      <c r="B14" s="8">
        <f>'Lote econômico'!$G$8*52*'Lote econômico'!$G$6/A14</f>
        <v>272.75130434782608</v>
      </c>
      <c r="C14" s="8">
        <f>A14/2*'Lote econômico'!$G$4*'Lote econômico'!$G$7</f>
        <v>1055.5999999999999</v>
      </c>
      <c r="D14" s="8">
        <f t="shared" si="0"/>
        <v>1328.351304347826</v>
      </c>
    </row>
    <row r="15" spans="1:4" x14ac:dyDescent="0.2">
      <c r="A15" s="4">
        <v>700</v>
      </c>
      <c r="B15" s="8">
        <f>'Lote econômico'!$G$8*52*'Lote econômico'!$G$6/A15</f>
        <v>253.26906832298135</v>
      </c>
      <c r="C15" s="8">
        <f>A15/2*'Lote econômico'!$G$4*'Lote econômico'!$G$7</f>
        <v>1136.7999999999997</v>
      </c>
      <c r="D15" s="8">
        <f t="shared" si="0"/>
        <v>1390.0690683229811</v>
      </c>
    </row>
    <row r="16" spans="1:4" x14ac:dyDescent="0.2">
      <c r="A16" s="4">
        <v>750</v>
      </c>
      <c r="B16" s="8">
        <f>'Lote econômico'!$G$8*52*'Lote econômico'!$G$6/A16</f>
        <v>236.38446376811592</v>
      </c>
      <c r="C16" s="8">
        <f>A16/2*'Lote econômico'!$G$4*'Lote econômico'!$G$7</f>
        <v>1218</v>
      </c>
      <c r="D16" s="8">
        <f t="shared" si="0"/>
        <v>1454.3844637681159</v>
      </c>
    </row>
    <row r="17" spans="1:4" x14ac:dyDescent="0.2">
      <c r="A17" s="4">
        <v>800</v>
      </c>
      <c r="B17" s="8">
        <f>'Lote econômico'!$G$8*52*'Lote econômico'!$G$6/A17</f>
        <v>221.61043478260868</v>
      </c>
      <c r="C17" s="8">
        <f>A17/2*'Lote econômico'!$G$4*'Lote econômico'!$G$7</f>
        <v>1299.1999999999998</v>
      </c>
      <c r="D17" s="8">
        <f t="shared" si="0"/>
        <v>1520.8104347826086</v>
      </c>
    </row>
    <row r="18" spans="1:4" x14ac:dyDescent="0.2">
      <c r="A18" s="4">
        <v>850</v>
      </c>
      <c r="B18" s="8">
        <f>'Lote econômico'!$G$8*52*'Lote econômico'!$G$6/A18</f>
        <v>208.57452685421993</v>
      </c>
      <c r="C18" s="8">
        <f>A18/2*'Lote econômico'!$G$4*'Lote econômico'!$G$7</f>
        <v>1380.3999999999999</v>
      </c>
      <c r="D18" s="8">
        <f t="shared" si="0"/>
        <v>1588.9745268542197</v>
      </c>
    </row>
    <row r="19" spans="1:4" x14ac:dyDescent="0.2">
      <c r="A19" s="4">
        <v>900</v>
      </c>
      <c r="B19" s="8">
        <f>'Lote econômico'!$G$8*52*'Lote econômico'!$G$6/A19</f>
        <v>196.98705314009661</v>
      </c>
      <c r="C19" s="8">
        <f>A19/2*'Lote econômico'!$G$4*'Lote econômico'!$G$7</f>
        <v>1461.6</v>
      </c>
      <c r="D19" s="8">
        <f t="shared" si="0"/>
        <v>1658.5870531400965</v>
      </c>
    </row>
    <row r="20" spans="1:4" x14ac:dyDescent="0.2">
      <c r="A20" s="4">
        <v>950</v>
      </c>
      <c r="B20" s="8">
        <f>'Lote econômico'!$G$8*52*'Lote econômico'!$G$6/A20</f>
        <v>186.61931350114415</v>
      </c>
      <c r="C20" s="8">
        <f>A20/2*'Lote econômico'!$G$4*'Lote econômico'!$G$7</f>
        <v>1542.8</v>
      </c>
      <c r="D20" s="8">
        <f t="shared" si="0"/>
        <v>1729.4193135011442</v>
      </c>
    </row>
    <row r="21" spans="1:4" x14ac:dyDescent="0.2">
      <c r="A21" s="4">
        <v>1000</v>
      </c>
      <c r="B21" s="8">
        <f>'Lote econômico'!$G$8*52*'Lote econômico'!$G$6/A21</f>
        <v>177.28834782608695</v>
      </c>
      <c r="C21" s="8">
        <f>A21/2*'Lote econômico'!$G$4*'Lote econômico'!$G$7</f>
        <v>1624</v>
      </c>
      <c r="D21" s="8">
        <f t="shared" si="0"/>
        <v>1801.2883478260869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L12" sqref="L12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4" t="s">
        <v>47</v>
      </c>
      <c r="B1" s="4" t="s">
        <v>51</v>
      </c>
      <c r="C1" s="4" t="s">
        <v>52</v>
      </c>
      <c r="D1" s="4" t="s">
        <v>49</v>
      </c>
    </row>
    <row r="2" spans="1:4" x14ac:dyDescent="0.2">
      <c r="A2" s="4">
        <v>300</v>
      </c>
      <c r="B2" s="8">
        <f>'Lote econômico'!$G$8*52*'Lote econômico'!$G$6/A2</f>
        <v>590.96115942028985</v>
      </c>
      <c r="C2" s="8">
        <f>A2/2*'Lote econômico'!$G$4*'Lote econômico'!$G$7</f>
        <v>487.2</v>
      </c>
      <c r="D2" s="8">
        <f>B2+C2</f>
        <v>1078.1611594202898</v>
      </c>
    </row>
    <row r="3" spans="1:4" x14ac:dyDescent="0.2">
      <c r="A3" s="4">
        <v>305</v>
      </c>
      <c r="B3" s="8">
        <f>'Lote econômico'!$G$8*52*'Lote econômico'!$G$6/A3</f>
        <v>581.27327156094077</v>
      </c>
      <c r="C3" s="8">
        <f>A3/2*'Lote econômico'!$G$4*'Lote econômico'!$G$7</f>
        <v>495.32</v>
      </c>
      <c r="D3" s="8">
        <f t="shared" ref="D3:D21" si="0">B3+C3</f>
        <v>1076.5932715609408</v>
      </c>
    </row>
    <row r="4" spans="1:4" x14ac:dyDescent="0.2">
      <c r="A4" s="4">
        <v>310</v>
      </c>
      <c r="B4" s="8">
        <f>'Lote econômico'!$G$8*52*'Lote econômico'!$G$6/A4</f>
        <v>571.89789621318369</v>
      </c>
      <c r="C4" s="8">
        <f>A4/2*'Lote econômico'!$G$4*'Lote econômico'!$G$7</f>
        <v>503.43999999999994</v>
      </c>
      <c r="D4" s="8">
        <f t="shared" si="0"/>
        <v>1075.3378962131837</v>
      </c>
    </row>
    <row r="5" spans="1:4" x14ac:dyDescent="0.2">
      <c r="A5" s="4">
        <v>315</v>
      </c>
      <c r="B5" s="8">
        <f>'Lote econômico'!$G$8*52*'Lote econômico'!$G$6/A5</f>
        <v>562.82015182884743</v>
      </c>
      <c r="C5" s="8">
        <f>A5/2*'Lote econômico'!$G$4*'Lote econômico'!$G$7</f>
        <v>511.55999999999995</v>
      </c>
      <c r="D5" s="8">
        <f t="shared" si="0"/>
        <v>1074.3801518288474</v>
      </c>
    </row>
    <row r="6" spans="1:4" x14ac:dyDescent="0.2">
      <c r="A6" s="4">
        <v>320</v>
      </c>
      <c r="B6" s="8">
        <f>'Lote econômico'!$G$8*52*'Lote econômico'!$G$6/A6</f>
        <v>554.02608695652168</v>
      </c>
      <c r="C6" s="8">
        <f>A6/2*'Lote econômico'!$G$4*'Lote econômico'!$G$7</f>
        <v>519.67999999999995</v>
      </c>
      <c r="D6" s="8">
        <f t="shared" si="0"/>
        <v>1073.7060869565216</v>
      </c>
    </row>
    <row r="7" spans="1:4" x14ac:dyDescent="0.2">
      <c r="A7" s="4">
        <v>325</v>
      </c>
      <c r="B7" s="8">
        <f>'Lote econômico'!$G$8*52*'Lote econômico'!$G$6/A7</f>
        <v>545.50260869565216</v>
      </c>
      <c r="C7" s="8">
        <f>A7/2*'Lote econômico'!$G$4*'Lote econômico'!$G$7</f>
        <v>527.79999999999995</v>
      </c>
      <c r="D7" s="8">
        <f t="shared" si="0"/>
        <v>1073.302608695652</v>
      </c>
    </row>
    <row r="8" spans="1:4" x14ac:dyDescent="0.2">
      <c r="A8" s="4">
        <v>330</v>
      </c>
      <c r="B8" s="8">
        <f>'Lote econômico'!$G$8*52*'Lote econômico'!$G$6/A8</f>
        <v>537.23741765480895</v>
      </c>
      <c r="C8" s="8">
        <f>A8/2*'Lote econômico'!$G$4*'Lote econômico'!$G$7</f>
        <v>535.91999999999985</v>
      </c>
      <c r="D8" s="8">
        <f t="shared" si="0"/>
        <v>1073.1574176548088</v>
      </c>
    </row>
    <row r="9" spans="1:4" x14ac:dyDescent="0.2">
      <c r="A9" s="4">
        <v>335</v>
      </c>
      <c r="B9" s="8">
        <f>'Lote econômico'!$G$8*52*'Lote econômico'!$G$6/A9</f>
        <v>529.21894873458791</v>
      </c>
      <c r="C9" s="8">
        <f>A9/2*'Lote econômico'!$G$4*'Lote econômico'!$G$7</f>
        <v>544.03999999999985</v>
      </c>
      <c r="D9" s="8">
        <f t="shared" si="0"/>
        <v>1073.2589487345876</v>
      </c>
    </row>
    <row r="10" spans="1:4" x14ac:dyDescent="0.2">
      <c r="A10" s="4">
        <v>340</v>
      </c>
      <c r="B10" s="8">
        <f>'Lote econômico'!$G$8*52*'Lote econômico'!$G$6/A10</f>
        <v>521.43631713554987</v>
      </c>
      <c r="C10" s="8">
        <f>A10/2*'Lote econômico'!$G$4*'Lote econômico'!$G$7</f>
        <v>552.15999999999985</v>
      </c>
      <c r="D10" s="8">
        <f t="shared" si="0"/>
        <v>1073.5963171355497</v>
      </c>
    </row>
    <row r="11" spans="1:4" x14ac:dyDescent="0.2">
      <c r="A11" s="4">
        <v>345</v>
      </c>
      <c r="B11" s="8">
        <f>'Lote econômico'!$G$8*52*'Lote econômico'!$G$6/A11</f>
        <v>513.87926906112159</v>
      </c>
      <c r="C11" s="8">
        <f>A11/2*'Lote econômico'!$G$4*'Lote econômico'!$G$7</f>
        <v>560.27999999999986</v>
      </c>
      <c r="D11" s="8">
        <f t="shared" si="0"/>
        <v>1074.1592690611214</v>
      </c>
    </row>
    <row r="12" spans="1:4" x14ac:dyDescent="0.2">
      <c r="A12" s="4">
        <v>350</v>
      </c>
      <c r="B12" s="8">
        <f>'Lote econômico'!$G$8*52*'Lote econômico'!$G$6/A12</f>
        <v>506.53813664596271</v>
      </c>
      <c r="C12" s="8">
        <f>A12/2*'Lote econômico'!$G$4*'Lote econômico'!$G$7</f>
        <v>568.39999999999986</v>
      </c>
      <c r="D12" s="8">
        <f t="shared" si="0"/>
        <v>1074.9381366459625</v>
      </c>
    </row>
    <row r="13" spans="1:4" x14ac:dyDescent="0.2">
      <c r="A13" s="4">
        <v>355</v>
      </c>
      <c r="B13" s="8">
        <f>'Lote econômico'!$G$8*52*'Lote econômico'!$G$6/A13</f>
        <v>499.40379669320265</v>
      </c>
      <c r="C13" s="8">
        <f>A13/2*'Lote econômico'!$G$4*'Lote econômico'!$G$7</f>
        <v>576.51999999999987</v>
      </c>
      <c r="D13" s="8">
        <f t="shared" si="0"/>
        <v>1075.9237966932026</v>
      </c>
    </row>
    <row r="14" spans="1:4" x14ac:dyDescent="0.2">
      <c r="A14" s="4">
        <v>360</v>
      </c>
      <c r="B14" s="8">
        <f>'Lote econômico'!$G$8*52*'Lote econômico'!$G$6/A14</f>
        <v>492.4676328502415</v>
      </c>
      <c r="C14" s="8">
        <f>A14/2*'Lote econômico'!$G$4*'Lote econômico'!$G$7</f>
        <v>584.63999999999987</v>
      </c>
      <c r="D14" s="8">
        <f t="shared" si="0"/>
        <v>1077.1076328502413</v>
      </c>
    </row>
    <row r="15" spans="1:4" x14ac:dyDescent="0.2">
      <c r="A15" s="4">
        <v>365</v>
      </c>
      <c r="B15" s="8">
        <f>'Lote econômico'!$G$8*52*'Lote econômico'!$G$6/A15</f>
        <v>485.72150089338891</v>
      </c>
      <c r="C15" s="8">
        <f>A15/2*'Lote econômico'!$G$4*'Lote econômico'!$G$7</f>
        <v>592.75999999999988</v>
      </c>
      <c r="D15" s="8">
        <f t="shared" si="0"/>
        <v>1078.4815008933888</v>
      </c>
    </row>
    <row r="16" spans="1:4" x14ac:dyDescent="0.2">
      <c r="A16" s="4">
        <v>370</v>
      </c>
      <c r="B16" s="8">
        <f>'Lote econômico'!$G$8*52*'Lote econômico'!$G$6/A16</f>
        <v>479.15769682726199</v>
      </c>
      <c r="C16" s="8">
        <f>A16/2*'Lote econômico'!$G$4*'Lote econômico'!$G$7</f>
        <v>600.88</v>
      </c>
      <c r="D16" s="8">
        <f t="shared" si="0"/>
        <v>1080.0376968272619</v>
      </c>
    </row>
    <row r="17" spans="1:4" x14ac:dyDescent="0.2">
      <c r="A17" s="4">
        <v>375</v>
      </c>
      <c r="B17" s="8">
        <f>'Lote econômico'!$G$8*52*'Lote econômico'!$G$6/A17</f>
        <v>472.76892753623184</v>
      </c>
      <c r="C17" s="8">
        <f>A17/2*'Lote econômico'!$G$4*'Lote econômico'!$G$7</f>
        <v>609</v>
      </c>
      <c r="D17" s="8">
        <f t="shared" si="0"/>
        <v>1081.7689275362318</v>
      </c>
    </row>
    <row r="18" spans="1:4" x14ac:dyDescent="0.2">
      <c r="A18" s="4">
        <v>380</v>
      </c>
      <c r="B18" s="8">
        <f>'Lote econômico'!$G$8*52*'Lote econômico'!$G$6/A18</f>
        <v>466.54828375286036</v>
      </c>
      <c r="C18" s="8">
        <f>A18/2*'Lote econômico'!$G$4*'Lote econômico'!$G$7</f>
        <v>617.12</v>
      </c>
      <c r="D18" s="8">
        <f t="shared" si="0"/>
        <v>1083.6682837528604</v>
      </c>
    </row>
    <row r="19" spans="1:4" x14ac:dyDescent="0.2">
      <c r="A19" s="4">
        <v>385</v>
      </c>
      <c r="B19" s="8">
        <f>'Lote econômico'!$G$8*52*'Lote econômico'!$G$6/A19</f>
        <v>460.48921513269335</v>
      </c>
      <c r="C19" s="8">
        <f>A19/2*'Lote econômico'!$G$4*'Lote econômico'!$G$7</f>
        <v>625.24</v>
      </c>
      <c r="D19" s="8">
        <f t="shared" si="0"/>
        <v>1085.7292151326933</v>
      </c>
    </row>
    <row r="20" spans="1:4" x14ac:dyDescent="0.2">
      <c r="A20" s="4">
        <v>390</v>
      </c>
      <c r="B20" s="8">
        <f>'Lote econômico'!$G$8*52*'Lote econômico'!$G$6/A20</f>
        <v>454.58550724637678</v>
      </c>
      <c r="C20" s="8">
        <f>A20/2*'Lote econômico'!$G$4*'Lote econômico'!$G$7</f>
        <v>633.3599999999999</v>
      </c>
      <c r="D20" s="8">
        <f t="shared" si="0"/>
        <v>1087.9455072463766</v>
      </c>
    </row>
    <row r="21" spans="1:4" x14ac:dyDescent="0.2">
      <c r="A21" s="4">
        <v>395</v>
      </c>
      <c r="B21" s="8">
        <f>'Lote econômico'!$G$8*52*'Lote econômico'!$G$6/A21</f>
        <v>448.83126031920744</v>
      </c>
      <c r="C21" s="8">
        <f>A21/2*'Lote econômico'!$G$4*'Lote econômico'!$G$7</f>
        <v>641.4799999999999</v>
      </c>
      <c r="D21" s="8">
        <f t="shared" si="0"/>
        <v>1090.3112603192073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L12" sqref="L12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4" t="s">
        <v>47</v>
      </c>
      <c r="B1" s="4" t="s">
        <v>53</v>
      </c>
      <c r="C1" s="4" t="s">
        <v>54</v>
      </c>
      <c r="D1" s="4" t="s">
        <v>48</v>
      </c>
    </row>
    <row r="2" spans="1:4" x14ac:dyDescent="0.2">
      <c r="A2" s="4">
        <v>50</v>
      </c>
      <c r="B2" s="8">
        <f>'Lote econômico'!$G$18*52*'Lote econômico'!$G$16/A2</f>
        <v>2251.3739130434783</v>
      </c>
      <c r="C2" s="8">
        <f>A2/2*'Lote econômico'!$G$14*'Lote econômico'!$G$17</f>
        <v>48.720000000000006</v>
      </c>
      <c r="D2" s="8">
        <f>B2+C2</f>
        <v>2300.0939130434781</v>
      </c>
    </row>
    <row r="3" spans="1:4" x14ac:dyDescent="0.2">
      <c r="A3" s="4">
        <v>100</v>
      </c>
      <c r="B3" s="8">
        <f>'Lote econômico'!$G$18*52*'Lote econômico'!$G$16/A3</f>
        <v>1125.6869565217391</v>
      </c>
      <c r="C3" s="8">
        <f>A3/2*'Lote econômico'!$G$14*'Lote econômico'!$G$17</f>
        <v>97.440000000000012</v>
      </c>
      <c r="D3" s="8">
        <f t="shared" ref="D3:D21" si="0">B3+C3</f>
        <v>1223.1269565217392</v>
      </c>
    </row>
    <row r="4" spans="1:4" x14ac:dyDescent="0.2">
      <c r="A4" s="4">
        <v>150</v>
      </c>
      <c r="B4" s="8">
        <f>'Lote econômico'!$G$18*52*'Lote econômico'!$G$16/A4</f>
        <v>750.45797101449273</v>
      </c>
      <c r="C4" s="8">
        <f>A4/2*'Lote econômico'!$G$14*'Lote econômico'!$G$17</f>
        <v>146.16</v>
      </c>
      <c r="D4" s="8">
        <f t="shared" si="0"/>
        <v>896.6179710144927</v>
      </c>
    </row>
    <row r="5" spans="1:4" x14ac:dyDescent="0.2">
      <c r="A5" s="4">
        <v>200</v>
      </c>
      <c r="B5" s="8">
        <f>'Lote econômico'!$G$18*52*'Lote econômico'!$G$16/A5</f>
        <v>562.84347826086957</v>
      </c>
      <c r="C5" s="8">
        <f>A5/2*'Lote econômico'!$G$14*'Lote econômico'!$G$17</f>
        <v>194.88000000000002</v>
      </c>
      <c r="D5" s="8">
        <f t="shared" si="0"/>
        <v>757.72347826086957</v>
      </c>
    </row>
    <row r="6" spans="1:4" x14ac:dyDescent="0.2">
      <c r="A6" s="4">
        <v>250</v>
      </c>
      <c r="B6" s="8">
        <f>'Lote econômico'!$G$18*52*'Lote econômico'!$G$16/A6</f>
        <v>450.2747826086956</v>
      </c>
      <c r="C6" s="8">
        <f>A6/2*'Lote econômico'!$G$14*'Lote econômico'!$G$17</f>
        <v>243.60000000000002</v>
      </c>
      <c r="D6" s="8">
        <f t="shared" si="0"/>
        <v>693.87478260869557</v>
      </c>
    </row>
    <row r="7" spans="1:4" x14ac:dyDescent="0.2">
      <c r="A7" s="4">
        <v>300</v>
      </c>
      <c r="B7" s="8">
        <f>'Lote econômico'!$G$18*52*'Lote econômico'!$G$16/A7</f>
        <v>375.22898550724636</v>
      </c>
      <c r="C7" s="8">
        <f>A7/2*'Lote econômico'!$G$14*'Lote econômico'!$G$17</f>
        <v>292.32</v>
      </c>
      <c r="D7" s="8">
        <f t="shared" si="0"/>
        <v>667.54898550724636</v>
      </c>
    </row>
    <row r="8" spans="1:4" x14ac:dyDescent="0.2">
      <c r="A8" s="4">
        <v>350</v>
      </c>
      <c r="B8" s="8">
        <f>'Lote econômico'!$G$18*52*'Lote econômico'!$G$16/A8</f>
        <v>321.62484472049687</v>
      </c>
      <c r="C8" s="8">
        <f>A8/2*'Lote econômico'!$G$14*'Lote econômico'!$G$17</f>
        <v>341.03999999999996</v>
      </c>
      <c r="D8" s="8">
        <f t="shared" si="0"/>
        <v>662.66484472049683</v>
      </c>
    </row>
    <row r="9" spans="1:4" x14ac:dyDescent="0.2">
      <c r="A9" s="4">
        <v>400</v>
      </c>
      <c r="B9" s="8">
        <f>'Lote econômico'!$G$18*52*'Lote econômico'!$G$16/A9</f>
        <v>281.42173913043479</v>
      </c>
      <c r="C9" s="8">
        <f>A9/2*'Lote econômico'!$G$14*'Lote econômico'!$G$17</f>
        <v>389.76000000000005</v>
      </c>
      <c r="D9" s="8">
        <f t="shared" si="0"/>
        <v>671.18173913043483</v>
      </c>
    </row>
    <row r="10" spans="1:4" x14ac:dyDescent="0.2">
      <c r="A10" s="4">
        <v>450</v>
      </c>
      <c r="B10" s="8">
        <f>'Lote econômico'!$G$18*52*'Lote econômico'!$G$16/A10</f>
        <v>250.1526570048309</v>
      </c>
      <c r="C10" s="8">
        <f>A10/2*'Lote econômico'!$G$14*'Lote econômico'!$G$17</f>
        <v>438.48</v>
      </c>
      <c r="D10" s="8">
        <f t="shared" si="0"/>
        <v>688.63265700483089</v>
      </c>
    </row>
    <row r="11" spans="1:4" x14ac:dyDescent="0.2">
      <c r="A11" s="4">
        <v>500</v>
      </c>
      <c r="B11" s="8">
        <f>'Lote econômico'!$G$18*52*'Lote econômico'!$G$16/A11</f>
        <v>225.1373913043478</v>
      </c>
      <c r="C11" s="8">
        <f>A11/2*'Lote econômico'!$G$14*'Lote econômico'!$G$17</f>
        <v>487.20000000000005</v>
      </c>
      <c r="D11" s="8">
        <f t="shared" si="0"/>
        <v>712.33739130434788</v>
      </c>
    </row>
    <row r="12" spans="1:4" x14ac:dyDescent="0.2">
      <c r="A12" s="4">
        <v>550</v>
      </c>
      <c r="B12" s="8">
        <f>'Lote econômico'!$G$18*52*'Lote econômico'!$G$16/A12</f>
        <v>204.67035573122527</v>
      </c>
      <c r="C12" s="8">
        <f>A12/2*'Lote econômico'!$G$14*'Lote econômico'!$G$17</f>
        <v>535.92000000000007</v>
      </c>
      <c r="D12" s="8">
        <f t="shared" si="0"/>
        <v>740.59035573122537</v>
      </c>
    </row>
    <row r="13" spans="1:4" x14ac:dyDescent="0.2">
      <c r="A13" s="4">
        <v>600</v>
      </c>
      <c r="B13" s="8">
        <f>'Lote econômico'!$G$18*52*'Lote econômico'!$G$16/A13</f>
        <v>187.61449275362318</v>
      </c>
      <c r="C13" s="8">
        <f>A13/2*'Lote econômico'!$G$14*'Lote econômico'!$G$17</f>
        <v>584.64</v>
      </c>
      <c r="D13" s="8">
        <f t="shared" si="0"/>
        <v>772.25449275362314</v>
      </c>
    </row>
    <row r="14" spans="1:4" x14ac:dyDescent="0.2">
      <c r="A14" s="4">
        <v>650</v>
      </c>
      <c r="B14" s="8">
        <f>'Lote econômico'!$G$18*52*'Lote econômico'!$G$16/A14</f>
        <v>173.18260869565216</v>
      </c>
      <c r="C14" s="8">
        <f>A14/2*'Lote econômico'!$G$14*'Lote econômico'!$G$17</f>
        <v>633.3599999999999</v>
      </c>
      <c r="D14" s="8">
        <f t="shared" si="0"/>
        <v>806.54260869565201</v>
      </c>
    </row>
    <row r="15" spans="1:4" x14ac:dyDescent="0.2">
      <c r="A15" s="4">
        <v>700</v>
      </c>
      <c r="B15" s="8">
        <f>'Lote econômico'!$G$18*52*'Lote econômico'!$G$16/A15</f>
        <v>160.81242236024843</v>
      </c>
      <c r="C15" s="8">
        <f>A15/2*'Lote econômico'!$G$14*'Lote econômico'!$G$17</f>
        <v>682.07999999999993</v>
      </c>
      <c r="D15" s="8">
        <f t="shared" si="0"/>
        <v>842.89242236024836</v>
      </c>
    </row>
    <row r="16" spans="1:4" x14ac:dyDescent="0.2">
      <c r="A16" s="4">
        <v>750</v>
      </c>
      <c r="B16" s="8">
        <f>'Lote econômico'!$G$18*52*'Lote econômico'!$G$16/A16</f>
        <v>150.09159420289853</v>
      </c>
      <c r="C16" s="8">
        <f>A16/2*'Lote econômico'!$G$14*'Lote econômico'!$G$17</f>
        <v>730.80000000000007</v>
      </c>
      <c r="D16" s="8">
        <f t="shared" si="0"/>
        <v>880.89159420289866</v>
      </c>
    </row>
    <row r="17" spans="1:4" x14ac:dyDescent="0.2">
      <c r="A17" s="4">
        <v>800</v>
      </c>
      <c r="B17" s="8">
        <f>'Lote econômico'!$G$18*52*'Lote econômico'!$G$16/A17</f>
        <v>140.71086956521739</v>
      </c>
      <c r="C17" s="8">
        <f>A17/2*'Lote econômico'!$G$14*'Lote econômico'!$G$17</f>
        <v>779.5200000000001</v>
      </c>
      <c r="D17" s="8">
        <f t="shared" si="0"/>
        <v>920.23086956521752</v>
      </c>
    </row>
    <row r="18" spans="1:4" x14ac:dyDescent="0.2">
      <c r="A18" s="4">
        <v>850</v>
      </c>
      <c r="B18" s="8">
        <f>'Lote econômico'!$G$18*52*'Lote econômico'!$G$16/A18</f>
        <v>132.43375959079282</v>
      </c>
      <c r="C18" s="8">
        <f>A18/2*'Lote econômico'!$G$14*'Lote econômico'!$G$17</f>
        <v>828.24000000000012</v>
      </c>
      <c r="D18" s="8">
        <f t="shared" si="0"/>
        <v>960.673759590793</v>
      </c>
    </row>
    <row r="19" spans="1:4" x14ac:dyDescent="0.2">
      <c r="A19" s="4">
        <v>900</v>
      </c>
      <c r="B19" s="8">
        <f>'Lote econômico'!$G$18*52*'Lote econômico'!$G$16/A19</f>
        <v>125.07632850241545</v>
      </c>
      <c r="C19" s="8">
        <f>A19/2*'Lote econômico'!$G$14*'Lote econômico'!$G$17</f>
        <v>876.96</v>
      </c>
      <c r="D19" s="8">
        <f t="shared" si="0"/>
        <v>1002.0363285024155</v>
      </c>
    </row>
    <row r="20" spans="1:4" x14ac:dyDescent="0.2">
      <c r="A20" s="4">
        <v>950</v>
      </c>
      <c r="B20" s="8">
        <f>'Lote econômico'!$G$18*52*'Lote econômico'!$G$16/A20</f>
        <v>118.49336384439358</v>
      </c>
      <c r="C20" s="8">
        <f>A20/2*'Lote econômico'!$G$14*'Lote econômico'!$G$17</f>
        <v>925.68000000000006</v>
      </c>
      <c r="D20" s="8">
        <f t="shared" si="0"/>
        <v>1044.1733638443936</v>
      </c>
    </row>
    <row r="21" spans="1:4" x14ac:dyDescent="0.2">
      <c r="A21" s="4">
        <v>1000</v>
      </c>
      <c r="B21" s="8">
        <f>'Lote econômico'!$G$18*52*'Lote econômico'!$G$16/A21</f>
        <v>112.5686956521739</v>
      </c>
      <c r="C21" s="8">
        <f>A21/2*'Lote econômico'!$G$14*'Lote econômico'!$G$17</f>
        <v>974.40000000000009</v>
      </c>
      <c r="D21" s="8">
        <f t="shared" si="0"/>
        <v>1086.9686956521739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L12" sqref="L12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18" t="s">
        <v>47</v>
      </c>
      <c r="B1" s="18" t="s">
        <v>53</v>
      </c>
      <c r="C1" s="18" t="s">
        <v>54</v>
      </c>
      <c r="D1" s="18" t="s">
        <v>48</v>
      </c>
    </row>
    <row r="2" spans="1:4" x14ac:dyDescent="0.2">
      <c r="A2" s="4">
        <v>300</v>
      </c>
      <c r="B2" s="8">
        <f>'Lote econômico'!$G$18*52*'Lote econômico'!$G$16/A2</f>
        <v>375.22898550724636</v>
      </c>
      <c r="C2" s="8">
        <f>A2/2*'Lote econômico'!$G$14*'Lote econômico'!$G$17</f>
        <v>292.32</v>
      </c>
      <c r="D2" s="8">
        <f>B2+C2</f>
        <v>667.54898550724636</v>
      </c>
    </row>
    <row r="3" spans="1:4" x14ac:dyDescent="0.2">
      <c r="A3" s="4">
        <v>305</v>
      </c>
      <c r="B3" s="8">
        <f>'Lote econômico'!$G$18*52*'Lote econômico'!$G$16/A3</f>
        <v>369.07769066286528</v>
      </c>
      <c r="C3" s="8">
        <f>A3/2*'Lote econômico'!$G$14*'Lote econômico'!$G$17</f>
        <v>297.19200000000001</v>
      </c>
      <c r="D3" s="8">
        <f t="shared" ref="D3:D21" si="0">B3+C3</f>
        <v>666.26969066286529</v>
      </c>
    </row>
    <row r="4" spans="1:4" x14ac:dyDescent="0.2">
      <c r="A4" s="4">
        <v>310</v>
      </c>
      <c r="B4" s="8">
        <f>'Lote econômico'!$G$18*52*'Lote econômico'!$G$16/A4</f>
        <v>363.12482468443193</v>
      </c>
      <c r="C4" s="8">
        <f>A4/2*'Lote econômico'!$G$14*'Lote econômico'!$G$17</f>
        <v>302.06400000000002</v>
      </c>
      <c r="D4" s="8">
        <f t="shared" si="0"/>
        <v>665.18882468443189</v>
      </c>
    </row>
    <row r="5" spans="1:4" x14ac:dyDescent="0.2">
      <c r="A5" s="4">
        <v>315</v>
      </c>
      <c r="B5" s="8">
        <f>'Lote econômico'!$G$18*52*'Lote econômico'!$G$16/A5</f>
        <v>357.36093857832986</v>
      </c>
      <c r="C5" s="8">
        <f>A5/2*'Lote econômico'!$G$14*'Lote econômico'!$G$17</f>
        <v>306.93599999999998</v>
      </c>
      <c r="D5" s="8">
        <f t="shared" si="0"/>
        <v>664.2969385783299</v>
      </c>
    </row>
    <row r="6" spans="1:4" x14ac:dyDescent="0.2">
      <c r="A6" s="4">
        <v>320</v>
      </c>
      <c r="B6" s="8">
        <f>'Lote econômico'!$G$18*52*'Lote econômico'!$G$16/A6</f>
        <v>351.77717391304344</v>
      </c>
      <c r="C6" s="8">
        <f>A6/2*'Lote econômico'!$G$14*'Lote econômico'!$G$17</f>
        <v>311.80799999999999</v>
      </c>
      <c r="D6" s="8">
        <f t="shared" si="0"/>
        <v>663.58517391304349</v>
      </c>
    </row>
    <row r="7" spans="1:4" x14ac:dyDescent="0.2">
      <c r="A7" s="4">
        <v>325</v>
      </c>
      <c r="B7" s="8">
        <f>'Lote econômico'!$G$18*52*'Lote econômico'!$G$16/A7</f>
        <v>346.36521739130433</v>
      </c>
      <c r="C7" s="8">
        <f>A7/2*'Lote econômico'!$G$14*'Lote econômico'!$G$17</f>
        <v>316.67999999999995</v>
      </c>
      <c r="D7" s="8">
        <f t="shared" si="0"/>
        <v>663.04521739130428</v>
      </c>
    </row>
    <row r="8" spans="1:4" x14ac:dyDescent="0.2">
      <c r="A8" s="4">
        <v>330</v>
      </c>
      <c r="B8" s="8">
        <f>'Lote econômico'!$G$18*52*'Lote econômico'!$G$16/A8</f>
        <v>341.11725955204213</v>
      </c>
      <c r="C8" s="8">
        <f>A8/2*'Lote econômico'!$G$14*'Lote econômico'!$G$17</f>
        <v>321.55200000000002</v>
      </c>
      <c r="D8" s="8">
        <f t="shared" si="0"/>
        <v>662.66925955204215</v>
      </c>
    </row>
    <row r="9" spans="1:4" x14ac:dyDescent="0.2">
      <c r="A9" s="4">
        <v>335</v>
      </c>
      <c r="B9" s="8">
        <f>'Lote econômico'!$G$18*52*'Lote econômico'!$G$16/A9</f>
        <v>336.02595717066839</v>
      </c>
      <c r="C9" s="8">
        <f>A9/2*'Lote econômico'!$G$14*'Lote econômico'!$G$17</f>
        <v>326.42400000000004</v>
      </c>
      <c r="D9" s="8">
        <f t="shared" si="0"/>
        <v>662.44995717066843</v>
      </c>
    </row>
    <row r="10" spans="1:4" x14ac:dyDescent="0.2">
      <c r="A10" s="4">
        <v>340</v>
      </c>
      <c r="B10" s="8">
        <f>'Lote econômico'!$G$18*52*'Lote econômico'!$G$16/A10</f>
        <v>331.08439897698207</v>
      </c>
      <c r="C10" s="8">
        <f>A10/2*'Lote econômico'!$G$14*'Lote econômico'!$G$17</f>
        <v>331.29599999999999</v>
      </c>
      <c r="D10" s="8">
        <f t="shared" si="0"/>
        <v>662.38039897698206</v>
      </c>
    </row>
    <row r="11" spans="1:4" x14ac:dyDescent="0.2">
      <c r="A11" s="4">
        <v>345</v>
      </c>
      <c r="B11" s="8">
        <f>'Lote econômico'!$G$18*52*'Lote econômico'!$G$16/A11</f>
        <v>326.28607435412727</v>
      </c>
      <c r="C11" s="8">
        <f>A11/2*'Lote econômico'!$G$14*'Lote econômico'!$G$17</f>
        <v>336.16800000000001</v>
      </c>
      <c r="D11" s="8">
        <f t="shared" si="0"/>
        <v>662.45407435412721</v>
      </c>
    </row>
    <row r="12" spans="1:4" x14ac:dyDescent="0.2">
      <c r="A12" s="4">
        <v>350</v>
      </c>
      <c r="B12" s="8">
        <f>'Lote econômico'!$G$18*52*'Lote econômico'!$G$16/A12</f>
        <v>321.62484472049687</v>
      </c>
      <c r="C12" s="8">
        <f>A12/2*'Lote econômico'!$G$14*'Lote econômico'!$G$17</f>
        <v>341.03999999999996</v>
      </c>
      <c r="D12" s="8">
        <f t="shared" si="0"/>
        <v>662.66484472049683</v>
      </c>
    </row>
    <row r="13" spans="1:4" x14ac:dyDescent="0.2">
      <c r="A13" s="4">
        <v>355</v>
      </c>
      <c r="B13" s="8">
        <f>'Lote econômico'!$G$18*52*'Lote econômico'!$G$16/A13</f>
        <v>317.09491733006735</v>
      </c>
      <c r="C13" s="8">
        <f>A13/2*'Lote econômico'!$G$14*'Lote econômico'!$G$17</f>
        <v>345.91200000000003</v>
      </c>
      <c r="D13" s="8">
        <f t="shared" si="0"/>
        <v>663.00691733006738</v>
      </c>
    </row>
    <row r="14" spans="1:4" x14ac:dyDescent="0.2">
      <c r="A14" s="4">
        <v>360</v>
      </c>
      <c r="B14" s="8">
        <f>'Lote econômico'!$G$18*52*'Lote econômico'!$G$16/A14</f>
        <v>312.69082125603865</v>
      </c>
      <c r="C14" s="8">
        <f>A14/2*'Lote econômico'!$G$14*'Lote econômico'!$G$17</f>
        <v>350.78399999999999</v>
      </c>
      <c r="D14" s="8">
        <f t="shared" si="0"/>
        <v>663.47482125603869</v>
      </c>
    </row>
    <row r="15" spans="1:4" x14ac:dyDescent="0.2">
      <c r="A15" s="4">
        <v>365</v>
      </c>
      <c r="B15" s="8">
        <f>'Lote econômico'!$G$18*52*'Lote econômico'!$G$16/A15</f>
        <v>308.40738534842166</v>
      </c>
      <c r="C15" s="8">
        <f>A15/2*'Lote econômico'!$G$14*'Lote econômico'!$G$17</f>
        <v>355.65600000000001</v>
      </c>
      <c r="D15" s="8">
        <f t="shared" si="0"/>
        <v>664.06338534842166</v>
      </c>
    </row>
    <row r="16" spans="1:4" x14ac:dyDescent="0.2">
      <c r="A16" s="4">
        <v>370</v>
      </c>
      <c r="B16" s="8">
        <f>'Lote econômico'!$G$18*52*'Lote econômico'!$G$16/A16</f>
        <v>304.23971797884838</v>
      </c>
      <c r="C16" s="8">
        <f>A16/2*'Lote econômico'!$G$14*'Lote econômico'!$G$17</f>
        <v>360.52799999999996</v>
      </c>
      <c r="D16" s="8">
        <f t="shared" si="0"/>
        <v>664.7677179788484</v>
      </c>
    </row>
    <row r="17" spans="1:4" x14ac:dyDescent="0.2">
      <c r="A17" s="4">
        <v>375</v>
      </c>
      <c r="B17" s="8">
        <f>'Lote econômico'!$G$18*52*'Lote econômico'!$G$16/A17</f>
        <v>300.18318840579707</v>
      </c>
      <c r="C17" s="8">
        <f>A17/2*'Lote econômico'!$G$14*'Lote econômico'!$G$17</f>
        <v>365.40000000000003</v>
      </c>
      <c r="D17" s="8">
        <f t="shared" si="0"/>
        <v>665.58318840579705</v>
      </c>
    </row>
    <row r="18" spans="1:4" x14ac:dyDescent="0.2">
      <c r="A18" s="4">
        <v>380</v>
      </c>
      <c r="B18" s="8">
        <f>'Lote econômico'!$G$18*52*'Lote econômico'!$G$16/A18</f>
        <v>296.23340961098398</v>
      </c>
      <c r="C18" s="8">
        <f>A18/2*'Lote econômico'!$G$14*'Lote econômico'!$G$17</f>
        <v>370.27200000000005</v>
      </c>
      <c r="D18" s="8">
        <f t="shared" si="0"/>
        <v>666.50540961098409</v>
      </c>
    </row>
    <row r="19" spans="1:4" x14ac:dyDescent="0.2">
      <c r="A19" s="4">
        <v>385</v>
      </c>
      <c r="B19" s="8">
        <f>'Lote econômico'!$G$18*52*'Lote econômico'!$G$16/A19</f>
        <v>292.38622247317898</v>
      </c>
      <c r="C19" s="8">
        <f>A19/2*'Lote econômico'!$G$14*'Lote econômico'!$G$17</f>
        <v>375.14400000000001</v>
      </c>
      <c r="D19" s="8">
        <f t="shared" si="0"/>
        <v>667.53022247317904</v>
      </c>
    </row>
    <row r="20" spans="1:4" x14ac:dyDescent="0.2">
      <c r="A20" s="4">
        <v>390</v>
      </c>
      <c r="B20" s="8">
        <f>'Lote econômico'!$G$18*52*'Lote econômico'!$G$16/A20</f>
        <v>288.63768115942025</v>
      </c>
      <c r="C20" s="8">
        <f>A20/2*'Lote econômico'!$G$14*'Lote econômico'!$G$17</f>
        <v>380.01600000000002</v>
      </c>
      <c r="D20" s="8">
        <f t="shared" si="0"/>
        <v>668.65368115942033</v>
      </c>
    </row>
    <row r="21" spans="1:4" x14ac:dyDescent="0.2">
      <c r="A21" s="4">
        <v>395</v>
      </c>
      <c r="B21" s="8">
        <f>'Lote econômico'!$G$18*52*'Lote econômico'!$G$16/A21</f>
        <v>284.98403962575674</v>
      </c>
      <c r="C21" s="8">
        <f>A21/2*'Lote econômico'!$G$14*'Lote econômico'!$G$17</f>
        <v>384.88799999999998</v>
      </c>
      <c r="D21" s="8">
        <f t="shared" si="0"/>
        <v>669.87203962575677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1" sqref="A1:D13"/>
    </sheetView>
  </sheetViews>
  <sheetFormatPr baseColWidth="10" defaultRowHeight="16" x14ac:dyDescent="0.2"/>
  <cols>
    <col min="3" max="3" width="11.6640625" bestFit="1" customWidth="1"/>
  </cols>
  <sheetData>
    <row r="1" spans="1:4" x14ac:dyDescent="0.2">
      <c r="A1" s="18" t="s">
        <v>20</v>
      </c>
      <c r="B1" s="18" t="s">
        <v>21</v>
      </c>
      <c r="C1" s="18" t="s">
        <v>59</v>
      </c>
      <c r="D1" s="18" t="s">
        <v>60</v>
      </c>
    </row>
    <row r="2" spans="1:4" x14ac:dyDescent="0.2">
      <c r="A2" s="5">
        <v>0.6</v>
      </c>
      <c r="B2" s="22">
        <v>0.254</v>
      </c>
      <c r="C2" s="12">
        <f>B2*'Lote econômico'!$T$4</f>
        <v>8.8626791932357225</v>
      </c>
      <c r="D2" s="12">
        <f>'Lote econômico'!$T$14*'Estoque de Segurança'!B2*SQRT(2)</f>
        <v>3.3578646141258384</v>
      </c>
    </row>
    <row r="3" spans="1:4" x14ac:dyDescent="0.2">
      <c r="A3" s="5">
        <v>0.7</v>
      </c>
      <c r="B3" s="22">
        <v>0.52500000000000002</v>
      </c>
      <c r="C3" s="12">
        <f>B3*'Lote econômico'!$T$4</f>
        <v>18.318529828538402</v>
      </c>
      <c r="D3" s="12">
        <f>'Lote econômico'!$T$14*'Estoque de Segurança'!B3*SQRT(2)</f>
        <v>6.9404681984884444</v>
      </c>
    </row>
    <row r="4" spans="1:4" x14ac:dyDescent="0.2">
      <c r="A4" s="5">
        <v>0.8</v>
      </c>
      <c r="B4" s="22">
        <v>0.84199999999999997</v>
      </c>
      <c r="C4" s="12">
        <f>B4*'Lote econômico'!$T$4</f>
        <v>29.379432601198733</v>
      </c>
      <c r="D4" s="12">
        <f>'Lote econômico'!$T$14*'Estoque de Segurança'!B4*SQRT(2)</f>
        <v>11.131188996432897</v>
      </c>
    </row>
    <row r="5" spans="1:4" x14ac:dyDescent="0.2">
      <c r="A5" s="5">
        <v>0.85</v>
      </c>
      <c r="B5" s="22">
        <v>1.0369999999999999</v>
      </c>
      <c r="C5" s="12">
        <f>B5*'Lote econômico'!$T$4</f>
        <v>36.183457966084426</v>
      </c>
      <c r="D5" s="12">
        <f>'Lote econômico'!$T$14*'Estoque de Segurança'!B5*SQRT(2)</f>
        <v>13.709077184442888</v>
      </c>
    </row>
    <row r="6" spans="1:4" x14ac:dyDescent="0.2">
      <c r="A6" s="5">
        <v>0.9</v>
      </c>
      <c r="B6" s="22">
        <v>1.282</v>
      </c>
      <c r="C6" s="12">
        <f>B6*'Lote econômico'!$T$4</f>
        <v>44.732105219402349</v>
      </c>
      <c r="D6" s="12">
        <f>'Lote econômico'!$T$14*'Estoque de Segurança'!B6*SQRT(2)</f>
        <v>16.947962343737498</v>
      </c>
    </row>
    <row r="7" spans="1:4" x14ac:dyDescent="0.2">
      <c r="A7" s="5">
        <v>0.95</v>
      </c>
      <c r="B7" s="22">
        <v>1.645</v>
      </c>
      <c r="C7" s="12">
        <f>B7*'Lote econômico'!$T$4</f>
        <v>57.39806012942033</v>
      </c>
      <c r="D7" s="12">
        <f>'Lote econômico'!$T$14*'Estoque de Segurança'!B7*SQRT(2)</f>
        <v>21.746800355263794</v>
      </c>
    </row>
    <row r="8" spans="1:4" x14ac:dyDescent="0.2">
      <c r="A8" s="5">
        <v>0.96</v>
      </c>
      <c r="B8" s="22">
        <v>1.7509999999999999</v>
      </c>
      <c r="C8" s="12">
        <f>B8*'Lote econômico'!$T$4</f>
        <v>61.096658532896647</v>
      </c>
      <c r="D8" s="12">
        <f>'Lote econômico'!$T$14*'Estoque de Segurança'!B8*SQRT(2)</f>
        <v>23.148113934387172</v>
      </c>
    </row>
    <row r="9" spans="1:4" x14ac:dyDescent="0.2">
      <c r="A9" s="5">
        <v>0.97</v>
      </c>
      <c r="B9" s="22">
        <v>1.88</v>
      </c>
      <c r="C9" s="12">
        <f>B9*'Lote econômico'!$T$4</f>
        <v>65.597783005051795</v>
      </c>
      <c r="D9" s="12">
        <f>'Lote econômico'!$T$14*'Estoque de Segurança'!B9*SQRT(2)</f>
        <v>24.853486120301476</v>
      </c>
    </row>
    <row r="10" spans="1:4" x14ac:dyDescent="0.2">
      <c r="A10" s="5">
        <v>0.98</v>
      </c>
      <c r="B10" s="22">
        <v>2.0550000000000002</v>
      </c>
      <c r="C10" s="12">
        <f>B10*'Lote econômico'!$T$4</f>
        <v>71.70395961456461</v>
      </c>
      <c r="D10" s="12">
        <f>'Lote econômico'!$T$14*'Estoque de Segurança'!B10*SQRT(2)</f>
        <v>27.166975519797628</v>
      </c>
    </row>
    <row r="11" spans="1:4" x14ac:dyDescent="0.2">
      <c r="A11" s="5">
        <v>0.99</v>
      </c>
      <c r="B11" s="22">
        <v>2.3250000000000002</v>
      </c>
      <c r="C11" s="12">
        <f>B11*'Lote econômico'!$T$4</f>
        <v>81.124917812098644</v>
      </c>
      <c r="D11" s="12">
        <f>'Lote econômico'!$T$14*'Estoque de Segurança'!B11*SQRT(2)</f>
        <v>30.736359164734541</v>
      </c>
    </row>
    <row r="12" spans="1:4" x14ac:dyDescent="0.2">
      <c r="A12" s="23">
        <v>0.999</v>
      </c>
      <c r="B12" s="22">
        <v>3.1</v>
      </c>
      <c r="C12" s="12">
        <f>B12*'Lote econômico'!$T$4</f>
        <v>108.16655708279819</v>
      </c>
      <c r="D12" s="12">
        <f>'Lote econômico'!$T$14*'Estoque de Segurança'!B12*SQRT(2)</f>
        <v>40.981812219646052</v>
      </c>
    </row>
    <row r="13" spans="1:4" x14ac:dyDescent="0.2">
      <c r="A13" s="24">
        <v>0.99990000000000001</v>
      </c>
      <c r="B13" s="22">
        <v>3.62</v>
      </c>
      <c r="C13" s="12">
        <f>B13*'Lote econômico'!$T$4</f>
        <v>126.31062472249337</v>
      </c>
      <c r="D13" s="12">
        <f>'Lote econômico'!$T$14*'Estoque de Segurança'!B13*SQRT(2)</f>
        <v>47.856180721006041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R4" sqref="R4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3" x14ac:dyDescent="0.2">
      <c r="A1" s="6" t="s">
        <v>62</v>
      </c>
      <c r="B1" s="4" t="s">
        <v>11</v>
      </c>
      <c r="C1" s="20">
        <f>'Lote econômico'!G8</f>
        <v>131.13043478260869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67</v>
      </c>
    </row>
    <row r="2" spans="1:13" x14ac:dyDescent="0.2">
      <c r="A2" s="6" t="s">
        <v>28</v>
      </c>
      <c r="B2" s="4" t="s">
        <v>6</v>
      </c>
      <c r="C2" s="6">
        <f>'Lote econômico'!G5</f>
        <v>1</v>
      </c>
      <c r="D2" s="6" t="s">
        <v>7</v>
      </c>
      <c r="G2" s="4">
        <v>1</v>
      </c>
      <c r="H2" s="4">
        <v>80</v>
      </c>
      <c r="I2" s="4">
        <v>1</v>
      </c>
      <c r="J2" s="4">
        <f>H2/5</f>
        <v>16</v>
      </c>
      <c r="K2" s="4">
        <v>250</v>
      </c>
      <c r="L2" s="4">
        <f>K2-J2</f>
        <v>234</v>
      </c>
      <c r="M2" s="4" t="str">
        <f>IF(L2&lt;$C$5,"SIM","NÃO")</f>
        <v>NÃO</v>
      </c>
    </row>
    <row r="3" spans="1:13" x14ac:dyDescent="0.2">
      <c r="A3" s="6" t="s">
        <v>19</v>
      </c>
      <c r="B3" s="4" t="s">
        <v>63</v>
      </c>
      <c r="C3" s="6">
        <f>CEILING('Estoque de Segurança'!C10,1)</f>
        <v>72</v>
      </c>
      <c r="D3" s="6" t="s">
        <v>13</v>
      </c>
      <c r="G3" s="4"/>
      <c r="H3" s="4"/>
      <c r="I3" s="4">
        <v>2</v>
      </c>
      <c r="J3" s="4">
        <f>J2</f>
        <v>16</v>
      </c>
      <c r="K3" s="4">
        <f>L2</f>
        <v>234</v>
      </c>
      <c r="L3" s="4">
        <f>K3-J3</f>
        <v>218</v>
      </c>
      <c r="M3" s="4" t="str">
        <f t="shared" ref="M3:M26" si="0">IF(L3&lt;$C$5,"SIM","NÃO")</f>
        <v>NÃO</v>
      </c>
    </row>
    <row r="4" spans="1:13" x14ac:dyDescent="0.2">
      <c r="G4" s="4"/>
      <c r="H4" s="4"/>
      <c r="I4" s="4">
        <v>3</v>
      </c>
      <c r="J4" s="4">
        <f>J3</f>
        <v>16</v>
      </c>
      <c r="K4" s="4">
        <f t="shared" ref="K4:K26" si="1">L3</f>
        <v>218</v>
      </c>
      <c r="L4" s="4">
        <f t="shared" ref="L4:L22" si="2">K4-J4</f>
        <v>202</v>
      </c>
      <c r="M4" s="4" t="str">
        <f t="shared" si="0"/>
        <v>SIM</v>
      </c>
    </row>
    <row r="5" spans="1:13" x14ac:dyDescent="0.2">
      <c r="A5" s="21" t="s">
        <v>64</v>
      </c>
      <c r="B5" s="18" t="s">
        <v>61</v>
      </c>
      <c r="C5" s="26">
        <f>CEILING(C1*C2+C3,1)</f>
        <v>204</v>
      </c>
      <c r="D5" s="21" t="s">
        <v>13</v>
      </c>
      <c r="G5" s="4"/>
      <c r="H5" s="4"/>
      <c r="I5" s="4">
        <v>4</v>
      </c>
      <c r="J5" s="4">
        <f>J4</f>
        <v>16</v>
      </c>
      <c r="K5" s="4">
        <f t="shared" si="1"/>
        <v>202</v>
      </c>
      <c r="L5" s="4">
        <f t="shared" si="2"/>
        <v>186</v>
      </c>
      <c r="M5" s="4" t="s">
        <v>69</v>
      </c>
    </row>
    <row r="6" spans="1:13" x14ac:dyDescent="0.2">
      <c r="G6" s="4"/>
      <c r="H6" s="4"/>
      <c r="I6" s="4">
        <v>5</v>
      </c>
      <c r="J6" s="4">
        <f>J5</f>
        <v>16</v>
      </c>
      <c r="K6" s="4">
        <f t="shared" si="1"/>
        <v>186</v>
      </c>
      <c r="L6" s="4">
        <f t="shared" si="2"/>
        <v>170</v>
      </c>
      <c r="M6" s="4" t="s">
        <v>69</v>
      </c>
    </row>
    <row r="7" spans="1:13" x14ac:dyDescent="0.2">
      <c r="G7" s="4">
        <v>2</v>
      </c>
      <c r="H7" s="4">
        <v>143</v>
      </c>
      <c r="I7" s="4">
        <v>1</v>
      </c>
      <c r="J7" s="4">
        <v>29</v>
      </c>
      <c r="K7" s="4">
        <f t="shared" si="1"/>
        <v>170</v>
      </c>
      <c r="L7" s="4">
        <f t="shared" si="2"/>
        <v>141</v>
      </c>
      <c r="M7" s="4" t="s">
        <v>69</v>
      </c>
    </row>
    <row r="8" spans="1:13" x14ac:dyDescent="0.2">
      <c r="G8" s="4"/>
      <c r="H8" s="4"/>
      <c r="I8" s="4">
        <v>2</v>
      </c>
      <c r="J8" s="4">
        <v>28</v>
      </c>
      <c r="K8" s="4">
        <f t="shared" si="1"/>
        <v>141</v>
      </c>
      <c r="L8" s="4">
        <f t="shared" si="2"/>
        <v>113</v>
      </c>
      <c r="M8" s="4" t="s">
        <v>69</v>
      </c>
    </row>
    <row r="9" spans="1:13" x14ac:dyDescent="0.2">
      <c r="G9" s="4"/>
      <c r="H9" s="4"/>
      <c r="I9" s="4">
        <v>3</v>
      </c>
      <c r="J9" s="4">
        <v>29</v>
      </c>
      <c r="K9" s="4">
        <f>L8+331</f>
        <v>444</v>
      </c>
      <c r="L9" s="4">
        <f t="shared" si="2"/>
        <v>415</v>
      </c>
      <c r="M9" s="4" t="str">
        <f t="shared" si="0"/>
        <v>NÃO</v>
      </c>
    </row>
    <row r="10" spans="1:13" x14ac:dyDescent="0.2">
      <c r="G10" s="4"/>
      <c r="H10" s="4"/>
      <c r="I10" s="4">
        <v>4</v>
      </c>
      <c r="J10" s="4">
        <v>28</v>
      </c>
      <c r="K10" s="4">
        <f t="shared" si="1"/>
        <v>415</v>
      </c>
      <c r="L10" s="4">
        <f t="shared" si="2"/>
        <v>387</v>
      </c>
      <c r="M10" s="4" t="str">
        <f t="shared" si="0"/>
        <v>NÃO</v>
      </c>
    </row>
    <row r="11" spans="1:13" x14ac:dyDescent="0.2">
      <c r="G11" s="4"/>
      <c r="H11" s="4"/>
      <c r="I11" s="4">
        <v>5</v>
      </c>
      <c r="J11" s="4">
        <v>29</v>
      </c>
      <c r="K11" s="4">
        <f t="shared" si="1"/>
        <v>387</v>
      </c>
      <c r="L11" s="4">
        <f t="shared" si="2"/>
        <v>358</v>
      </c>
      <c r="M11" s="4" t="str">
        <f t="shared" si="0"/>
        <v>NÃO</v>
      </c>
    </row>
    <row r="12" spans="1:13" x14ac:dyDescent="0.2">
      <c r="G12" s="4">
        <v>3</v>
      </c>
      <c r="H12" s="4">
        <v>123</v>
      </c>
      <c r="I12" s="4">
        <v>1</v>
      </c>
      <c r="J12" s="4">
        <v>25</v>
      </c>
      <c r="K12" s="4">
        <f t="shared" si="1"/>
        <v>358</v>
      </c>
      <c r="L12" s="4">
        <f t="shared" si="2"/>
        <v>333</v>
      </c>
      <c r="M12" s="4" t="str">
        <f t="shared" si="0"/>
        <v>NÃO</v>
      </c>
    </row>
    <row r="13" spans="1:13" x14ac:dyDescent="0.2">
      <c r="G13" s="4"/>
      <c r="H13" s="4"/>
      <c r="I13" s="4">
        <v>2</v>
      </c>
      <c r="J13" s="4">
        <v>24</v>
      </c>
      <c r="K13" s="4">
        <f t="shared" si="1"/>
        <v>333</v>
      </c>
      <c r="L13" s="4">
        <f t="shared" si="2"/>
        <v>309</v>
      </c>
      <c r="M13" s="4" t="str">
        <f t="shared" si="0"/>
        <v>NÃO</v>
      </c>
    </row>
    <row r="14" spans="1:13" x14ac:dyDescent="0.2">
      <c r="G14" s="4"/>
      <c r="H14" s="4"/>
      <c r="I14" s="4">
        <v>3</v>
      </c>
      <c r="J14" s="4">
        <v>25</v>
      </c>
      <c r="K14" s="4">
        <f t="shared" si="1"/>
        <v>309</v>
      </c>
      <c r="L14" s="4">
        <f t="shared" si="2"/>
        <v>284</v>
      </c>
      <c r="M14" s="4" t="str">
        <f t="shared" si="0"/>
        <v>NÃO</v>
      </c>
    </row>
    <row r="15" spans="1:13" x14ac:dyDescent="0.2">
      <c r="G15" s="4"/>
      <c r="H15" s="4"/>
      <c r="I15" s="4">
        <v>4</v>
      </c>
      <c r="J15" s="4">
        <v>24</v>
      </c>
      <c r="K15" s="4">
        <f t="shared" si="1"/>
        <v>284</v>
      </c>
      <c r="L15" s="4">
        <f t="shared" si="2"/>
        <v>260</v>
      </c>
      <c r="M15" s="4" t="str">
        <f t="shared" si="0"/>
        <v>NÃO</v>
      </c>
    </row>
    <row r="16" spans="1:13" x14ac:dyDescent="0.2">
      <c r="G16" s="4"/>
      <c r="H16" s="4"/>
      <c r="I16" s="4">
        <v>5</v>
      </c>
      <c r="J16" s="4">
        <v>25</v>
      </c>
      <c r="K16" s="4">
        <f t="shared" si="1"/>
        <v>260</v>
      </c>
      <c r="L16" s="4">
        <f t="shared" si="2"/>
        <v>235</v>
      </c>
      <c r="M16" s="4" t="str">
        <f t="shared" si="0"/>
        <v>NÃO</v>
      </c>
    </row>
    <row r="17" spans="7:13" x14ac:dyDescent="0.2">
      <c r="G17" s="4">
        <v>4</v>
      </c>
      <c r="H17" s="4">
        <v>157</v>
      </c>
      <c r="I17" s="4">
        <v>1</v>
      </c>
      <c r="J17" s="4">
        <v>31</v>
      </c>
      <c r="K17" s="4">
        <f t="shared" si="1"/>
        <v>235</v>
      </c>
      <c r="L17" s="4">
        <f t="shared" si="2"/>
        <v>204</v>
      </c>
      <c r="M17" s="4" t="str">
        <f t="shared" si="0"/>
        <v>NÃO</v>
      </c>
    </row>
    <row r="18" spans="7:13" x14ac:dyDescent="0.2">
      <c r="G18" s="4"/>
      <c r="H18" s="4"/>
      <c r="I18" s="4">
        <v>2</v>
      </c>
      <c r="J18" s="4">
        <v>32</v>
      </c>
      <c r="K18" s="4">
        <f t="shared" si="1"/>
        <v>204</v>
      </c>
      <c r="L18" s="4">
        <f t="shared" si="2"/>
        <v>172</v>
      </c>
      <c r="M18" s="4" t="str">
        <f t="shared" si="0"/>
        <v>SIM</v>
      </c>
    </row>
    <row r="19" spans="7:13" x14ac:dyDescent="0.2">
      <c r="G19" s="4"/>
      <c r="H19" s="4"/>
      <c r="I19" s="4">
        <v>3</v>
      </c>
      <c r="J19" s="4">
        <v>31</v>
      </c>
      <c r="K19" s="4">
        <f t="shared" si="1"/>
        <v>172</v>
      </c>
      <c r="L19" s="4">
        <f t="shared" si="2"/>
        <v>141</v>
      </c>
      <c r="M19" s="4" t="s">
        <v>69</v>
      </c>
    </row>
    <row r="20" spans="7:13" x14ac:dyDescent="0.2">
      <c r="G20" s="4"/>
      <c r="H20" s="4"/>
      <c r="I20" s="4">
        <v>4</v>
      </c>
      <c r="J20" s="4">
        <v>32</v>
      </c>
      <c r="K20" s="4">
        <f t="shared" si="1"/>
        <v>141</v>
      </c>
      <c r="L20" s="4">
        <f t="shared" si="2"/>
        <v>109</v>
      </c>
      <c r="M20" s="4" t="s">
        <v>69</v>
      </c>
    </row>
    <row r="21" spans="7:13" x14ac:dyDescent="0.2">
      <c r="G21" s="4"/>
      <c r="H21" s="4"/>
      <c r="I21" s="4">
        <v>5</v>
      </c>
      <c r="J21" s="4">
        <v>31</v>
      </c>
      <c r="K21" s="4">
        <f t="shared" si="1"/>
        <v>109</v>
      </c>
      <c r="L21" s="4">
        <f t="shared" si="2"/>
        <v>78</v>
      </c>
      <c r="M21" s="4" t="s">
        <v>69</v>
      </c>
    </row>
    <row r="22" spans="7:13" x14ac:dyDescent="0.2">
      <c r="G22" s="4">
        <v>5</v>
      </c>
      <c r="H22" s="4">
        <v>144</v>
      </c>
      <c r="I22" s="4">
        <v>1</v>
      </c>
      <c r="J22" s="4">
        <v>28</v>
      </c>
      <c r="K22" s="4">
        <f t="shared" si="1"/>
        <v>78</v>
      </c>
      <c r="L22" s="4">
        <f t="shared" si="2"/>
        <v>50</v>
      </c>
      <c r="M22" s="4" t="s">
        <v>69</v>
      </c>
    </row>
    <row r="23" spans="7:13" x14ac:dyDescent="0.2">
      <c r="G23" s="4"/>
      <c r="H23" s="4"/>
      <c r="I23" s="4">
        <v>2</v>
      </c>
      <c r="J23" s="4">
        <v>29</v>
      </c>
      <c r="K23" s="4">
        <f>L22+331</f>
        <v>381</v>
      </c>
      <c r="L23" s="4">
        <f t="shared" ref="L23:L26" si="3">K23-J23</f>
        <v>352</v>
      </c>
      <c r="M23" s="4" t="str">
        <f t="shared" si="0"/>
        <v>NÃO</v>
      </c>
    </row>
    <row r="24" spans="7:13" x14ac:dyDescent="0.2">
      <c r="G24" s="4"/>
      <c r="H24" s="4"/>
      <c r="I24" s="4">
        <v>3</v>
      </c>
      <c r="J24" s="4">
        <v>29</v>
      </c>
      <c r="K24" s="4">
        <f t="shared" si="1"/>
        <v>352</v>
      </c>
      <c r="L24" s="4">
        <f t="shared" si="3"/>
        <v>323</v>
      </c>
      <c r="M24" s="4" t="str">
        <f t="shared" si="0"/>
        <v>NÃO</v>
      </c>
    </row>
    <row r="25" spans="7:13" x14ac:dyDescent="0.2">
      <c r="G25" s="4"/>
      <c r="H25" s="4"/>
      <c r="I25" s="4">
        <v>4</v>
      </c>
      <c r="J25" s="4">
        <v>29</v>
      </c>
      <c r="K25" s="4">
        <f t="shared" si="1"/>
        <v>323</v>
      </c>
      <c r="L25" s="4">
        <f t="shared" si="3"/>
        <v>294</v>
      </c>
      <c r="M25" s="4" t="str">
        <f t="shared" si="0"/>
        <v>NÃO</v>
      </c>
    </row>
    <row r="26" spans="7:13" x14ac:dyDescent="0.2">
      <c r="G26" s="4"/>
      <c r="H26" s="4"/>
      <c r="I26" s="4">
        <v>5</v>
      </c>
      <c r="J26" s="4">
        <v>29</v>
      </c>
      <c r="K26" s="4">
        <f t="shared" si="1"/>
        <v>294</v>
      </c>
      <c r="L26" s="4">
        <f t="shared" si="3"/>
        <v>265</v>
      </c>
      <c r="M26" s="4" t="str">
        <f t="shared" si="0"/>
        <v>NÃO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11" sqref="F11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3" x14ac:dyDescent="0.2">
      <c r="A1" s="6" t="s">
        <v>62</v>
      </c>
      <c r="B1" s="4" t="s">
        <v>11</v>
      </c>
      <c r="C1" s="20">
        <f>'Lote econômico'!G18</f>
        <v>83.260869565217391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67</v>
      </c>
    </row>
    <row r="2" spans="1:13" x14ac:dyDescent="0.2">
      <c r="A2" s="6" t="s">
        <v>28</v>
      </c>
      <c r="B2" s="4" t="s">
        <v>6</v>
      </c>
      <c r="C2" s="6">
        <f>'Lote econômico'!G15</f>
        <v>2</v>
      </c>
      <c r="D2" s="6" t="s">
        <v>7</v>
      </c>
      <c r="G2" s="4">
        <v>1</v>
      </c>
      <c r="H2" s="4">
        <v>61</v>
      </c>
      <c r="I2" s="4">
        <v>1</v>
      </c>
      <c r="J2" s="4">
        <v>12</v>
      </c>
      <c r="K2" s="4">
        <v>220</v>
      </c>
      <c r="L2" s="4">
        <f>K2-J2</f>
        <v>208</v>
      </c>
      <c r="M2" s="4" t="str">
        <f>IF(L2&lt;$C$5,"SIM","NÃO")</f>
        <v>NÃO</v>
      </c>
    </row>
    <row r="3" spans="1:13" x14ac:dyDescent="0.2">
      <c r="A3" s="6" t="s">
        <v>19</v>
      </c>
      <c r="B3" s="4" t="s">
        <v>63</v>
      </c>
      <c r="C3" s="25">
        <f>CEILING('Lote econômico'!S17,1)</f>
        <v>28</v>
      </c>
      <c r="D3" s="6" t="s">
        <v>13</v>
      </c>
      <c r="G3" s="4"/>
      <c r="H3" s="4"/>
      <c r="I3" s="4">
        <v>2</v>
      </c>
      <c r="J3" s="4">
        <v>12</v>
      </c>
      <c r="K3" s="4">
        <f>L2</f>
        <v>208</v>
      </c>
      <c r="L3" s="4">
        <f>K3-J3</f>
        <v>196</v>
      </c>
      <c r="M3" s="4" t="str">
        <f>IF(L3&lt;$C$5,"SIM","NÃO")</f>
        <v>NÃO</v>
      </c>
    </row>
    <row r="4" spans="1:13" x14ac:dyDescent="0.2">
      <c r="G4" s="4"/>
      <c r="H4" s="4"/>
      <c r="I4" s="4">
        <v>3</v>
      </c>
      <c r="J4" s="4">
        <v>13</v>
      </c>
      <c r="K4" s="4">
        <f t="shared" ref="K4:K26" si="0">L3</f>
        <v>196</v>
      </c>
      <c r="L4" s="4">
        <f t="shared" ref="L4:L26" si="1">K4-J4</f>
        <v>183</v>
      </c>
      <c r="M4" s="4" t="str">
        <f>IF(L4&lt;$C$5,"SIM","NÃO")</f>
        <v>SIM</v>
      </c>
    </row>
    <row r="5" spans="1:13" x14ac:dyDescent="0.2">
      <c r="A5" s="21" t="s">
        <v>64</v>
      </c>
      <c r="B5" s="18" t="s">
        <v>61</v>
      </c>
      <c r="C5" s="26">
        <f>CEILING(C1*C2+C3,1)</f>
        <v>195</v>
      </c>
      <c r="D5" s="21" t="s">
        <v>13</v>
      </c>
      <c r="G5" s="4"/>
      <c r="H5" s="4"/>
      <c r="I5" s="4">
        <v>4</v>
      </c>
      <c r="J5" s="4">
        <v>12</v>
      </c>
      <c r="K5" s="4">
        <f t="shared" si="0"/>
        <v>183</v>
      </c>
      <c r="L5" s="4">
        <f t="shared" si="1"/>
        <v>171</v>
      </c>
      <c r="M5" s="4" t="s">
        <v>69</v>
      </c>
    </row>
    <row r="6" spans="1:13" x14ac:dyDescent="0.2">
      <c r="G6" s="4"/>
      <c r="H6" s="4"/>
      <c r="I6" s="4">
        <v>5</v>
      </c>
      <c r="J6" s="4">
        <v>12</v>
      </c>
      <c r="K6" s="4">
        <f t="shared" si="0"/>
        <v>171</v>
      </c>
      <c r="L6" s="4">
        <f t="shared" si="1"/>
        <v>159</v>
      </c>
      <c r="M6" s="4" t="s">
        <v>69</v>
      </c>
    </row>
    <row r="7" spans="1:13" x14ac:dyDescent="0.2">
      <c r="G7" s="4">
        <v>2</v>
      </c>
      <c r="H7" s="4">
        <v>86</v>
      </c>
      <c r="I7" s="4">
        <v>1</v>
      </c>
      <c r="J7" s="4">
        <v>17</v>
      </c>
      <c r="K7" s="4">
        <f t="shared" si="0"/>
        <v>159</v>
      </c>
      <c r="L7" s="4">
        <f t="shared" si="1"/>
        <v>142</v>
      </c>
      <c r="M7" s="4" t="s">
        <v>69</v>
      </c>
    </row>
    <row r="8" spans="1:13" x14ac:dyDescent="0.2">
      <c r="G8" s="4"/>
      <c r="H8" s="4"/>
      <c r="I8" s="4">
        <v>2</v>
      </c>
      <c r="J8" s="4">
        <v>17</v>
      </c>
      <c r="K8" s="4">
        <f t="shared" si="0"/>
        <v>142</v>
      </c>
      <c r="L8" s="4">
        <f t="shared" si="1"/>
        <v>125</v>
      </c>
      <c r="M8" s="4" t="s">
        <v>69</v>
      </c>
    </row>
    <row r="9" spans="1:13" x14ac:dyDescent="0.2">
      <c r="G9" s="4"/>
      <c r="H9" s="4"/>
      <c r="I9" s="4">
        <v>3</v>
      </c>
      <c r="J9" s="4">
        <v>18</v>
      </c>
      <c r="K9" s="4">
        <f t="shared" si="0"/>
        <v>125</v>
      </c>
      <c r="L9" s="4">
        <f t="shared" si="1"/>
        <v>107</v>
      </c>
      <c r="M9" s="4" t="s">
        <v>69</v>
      </c>
    </row>
    <row r="10" spans="1:13" x14ac:dyDescent="0.2">
      <c r="G10" s="4"/>
      <c r="H10" s="4"/>
      <c r="I10" s="4">
        <v>4</v>
      </c>
      <c r="J10" s="4">
        <v>17</v>
      </c>
      <c r="K10" s="4">
        <f t="shared" si="0"/>
        <v>107</v>
      </c>
      <c r="L10" s="4">
        <f t="shared" si="1"/>
        <v>90</v>
      </c>
      <c r="M10" s="4" t="s">
        <v>69</v>
      </c>
    </row>
    <row r="11" spans="1:13" x14ac:dyDescent="0.2">
      <c r="G11" s="4"/>
      <c r="H11" s="4"/>
      <c r="I11" s="4">
        <v>5</v>
      </c>
      <c r="J11" s="4">
        <v>17</v>
      </c>
      <c r="K11" s="4">
        <f t="shared" si="0"/>
        <v>90</v>
      </c>
      <c r="L11" s="4">
        <f t="shared" si="1"/>
        <v>73</v>
      </c>
      <c r="M11" s="4" t="s">
        <v>69</v>
      </c>
    </row>
    <row r="12" spans="1:13" x14ac:dyDescent="0.2">
      <c r="G12" s="4">
        <v>3</v>
      </c>
      <c r="H12" s="4">
        <v>78</v>
      </c>
      <c r="I12" s="4">
        <v>1</v>
      </c>
      <c r="J12" s="4">
        <v>16</v>
      </c>
      <c r="K12" s="4">
        <f t="shared" si="0"/>
        <v>73</v>
      </c>
      <c r="L12" s="4">
        <f t="shared" si="1"/>
        <v>57</v>
      </c>
      <c r="M12" s="4" t="s">
        <v>69</v>
      </c>
    </row>
    <row r="13" spans="1:13" x14ac:dyDescent="0.2">
      <c r="G13" s="4"/>
      <c r="H13" s="4"/>
      <c r="I13" s="4">
        <v>2</v>
      </c>
      <c r="J13" s="4">
        <v>15</v>
      </c>
      <c r="K13" s="4">
        <f t="shared" si="0"/>
        <v>57</v>
      </c>
      <c r="L13" s="4">
        <f t="shared" si="1"/>
        <v>42</v>
      </c>
      <c r="M13" s="4" t="s">
        <v>69</v>
      </c>
    </row>
    <row r="14" spans="1:13" x14ac:dyDescent="0.2">
      <c r="G14" s="4"/>
      <c r="H14" s="4"/>
      <c r="I14" s="4">
        <v>3</v>
      </c>
      <c r="J14" s="4">
        <v>16</v>
      </c>
      <c r="K14" s="4">
        <f t="shared" si="0"/>
        <v>42</v>
      </c>
      <c r="L14" s="4">
        <f>K14-J14+340</f>
        <v>366</v>
      </c>
      <c r="M14" s="4" t="s">
        <v>69</v>
      </c>
    </row>
    <row r="15" spans="1:13" x14ac:dyDescent="0.2">
      <c r="G15" s="4"/>
      <c r="H15" s="4"/>
      <c r="I15" s="4">
        <v>4</v>
      </c>
      <c r="J15" s="4">
        <v>15</v>
      </c>
      <c r="K15" s="4">
        <f t="shared" si="0"/>
        <v>366</v>
      </c>
      <c r="L15" s="4">
        <f t="shared" si="1"/>
        <v>351</v>
      </c>
      <c r="M15" s="4" t="str">
        <f t="shared" ref="M15:M24" si="2">IF(L15&lt;$C$5,"SIM","NÃO")</f>
        <v>NÃO</v>
      </c>
    </row>
    <row r="16" spans="1:13" x14ac:dyDescent="0.2">
      <c r="G16" s="4"/>
      <c r="H16" s="4"/>
      <c r="I16" s="4">
        <v>5</v>
      </c>
      <c r="J16" s="4">
        <v>16</v>
      </c>
      <c r="K16" s="4">
        <f t="shared" si="0"/>
        <v>351</v>
      </c>
      <c r="L16" s="4">
        <f t="shared" si="1"/>
        <v>335</v>
      </c>
      <c r="M16" s="4" t="str">
        <f t="shared" si="2"/>
        <v>NÃO</v>
      </c>
    </row>
    <row r="17" spans="7:13" x14ac:dyDescent="0.2">
      <c r="G17" s="4">
        <v>4</v>
      </c>
      <c r="H17" s="4">
        <v>92</v>
      </c>
      <c r="I17" s="4">
        <v>1</v>
      </c>
      <c r="J17" s="4">
        <v>18</v>
      </c>
      <c r="K17" s="4">
        <f t="shared" si="0"/>
        <v>335</v>
      </c>
      <c r="L17" s="4">
        <f t="shared" si="1"/>
        <v>317</v>
      </c>
      <c r="M17" s="4" t="str">
        <f t="shared" si="2"/>
        <v>NÃO</v>
      </c>
    </row>
    <row r="18" spans="7:13" x14ac:dyDescent="0.2">
      <c r="G18" s="4"/>
      <c r="H18" s="4"/>
      <c r="I18" s="4">
        <v>2</v>
      </c>
      <c r="J18" s="4">
        <v>19</v>
      </c>
      <c r="K18" s="4">
        <f t="shared" si="0"/>
        <v>317</v>
      </c>
      <c r="L18" s="4">
        <f t="shared" si="1"/>
        <v>298</v>
      </c>
      <c r="M18" s="4" t="str">
        <f t="shared" si="2"/>
        <v>NÃO</v>
      </c>
    </row>
    <row r="19" spans="7:13" x14ac:dyDescent="0.2">
      <c r="G19" s="4"/>
      <c r="H19" s="4"/>
      <c r="I19" s="4">
        <v>3</v>
      </c>
      <c r="J19" s="4">
        <v>18</v>
      </c>
      <c r="K19" s="4">
        <f t="shared" si="0"/>
        <v>298</v>
      </c>
      <c r="L19" s="4">
        <f t="shared" si="1"/>
        <v>280</v>
      </c>
      <c r="M19" s="4" t="str">
        <f t="shared" si="2"/>
        <v>NÃO</v>
      </c>
    </row>
    <row r="20" spans="7:13" x14ac:dyDescent="0.2">
      <c r="G20" s="4"/>
      <c r="H20" s="4"/>
      <c r="I20" s="4">
        <v>4</v>
      </c>
      <c r="J20" s="4">
        <v>19</v>
      </c>
      <c r="K20" s="4">
        <f t="shared" si="0"/>
        <v>280</v>
      </c>
      <c r="L20" s="4">
        <f t="shared" si="1"/>
        <v>261</v>
      </c>
      <c r="M20" s="4" t="str">
        <f t="shared" si="2"/>
        <v>NÃO</v>
      </c>
    </row>
    <row r="21" spans="7:13" x14ac:dyDescent="0.2">
      <c r="G21" s="4"/>
      <c r="H21" s="4"/>
      <c r="I21" s="4">
        <v>5</v>
      </c>
      <c r="J21" s="4">
        <v>18</v>
      </c>
      <c r="K21" s="4">
        <f t="shared" si="0"/>
        <v>261</v>
      </c>
      <c r="L21" s="4">
        <f t="shared" si="1"/>
        <v>243</v>
      </c>
      <c r="M21" s="4" t="str">
        <f t="shared" si="2"/>
        <v>NÃO</v>
      </c>
    </row>
    <row r="22" spans="7:13" x14ac:dyDescent="0.2">
      <c r="G22" s="4">
        <v>5</v>
      </c>
      <c r="H22" s="4">
        <v>87</v>
      </c>
      <c r="I22" s="4">
        <v>1</v>
      </c>
      <c r="J22" s="4">
        <v>17</v>
      </c>
      <c r="K22" s="4">
        <f t="shared" si="0"/>
        <v>243</v>
      </c>
      <c r="L22" s="4">
        <f t="shared" si="1"/>
        <v>226</v>
      </c>
      <c r="M22" s="4" t="str">
        <f t="shared" si="2"/>
        <v>NÃO</v>
      </c>
    </row>
    <row r="23" spans="7:13" x14ac:dyDescent="0.2">
      <c r="G23" s="4"/>
      <c r="H23" s="4"/>
      <c r="I23" s="4">
        <v>2</v>
      </c>
      <c r="J23" s="4">
        <v>18</v>
      </c>
      <c r="K23" s="4">
        <f t="shared" si="0"/>
        <v>226</v>
      </c>
      <c r="L23" s="4">
        <f t="shared" si="1"/>
        <v>208</v>
      </c>
      <c r="M23" s="4" t="str">
        <f t="shared" si="2"/>
        <v>NÃO</v>
      </c>
    </row>
    <row r="24" spans="7:13" x14ac:dyDescent="0.2">
      <c r="G24" s="4"/>
      <c r="H24" s="4"/>
      <c r="I24" s="4">
        <v>3</v>
      </c>
      <c r="J24" s="4">
        <v>17</v>
      </c>
      <c r="K24" s="4">
        <f t="shared" si="0"/>
        <v>208</v>
      </c>
      <c r="L24" s="4">
        <f t="shared" si="1"/>
        <v>191</v>
      </c>
      <c r="M24" s="4" t="str">
        <f t="shared" si="2"/>
        <v>SIM</v>
      </c>
    </row>
    <row r="25" spans="7:13" x14ac:dyDescent="0.2">
      <c r="G25" s="4"/>
      <c r="H25" s="4"/>
      <c r="I25" s="4">
        <v>4</v>
      </c>
      <c r="J25" s="4">
        <v>18</v>
      </c>
      <c r="K25" s="4">
        <f t="shared" si="0"/>
        <v>191</v>
      </c>
      <c r="L25" s="4">
        <f t="shared" si="1"/>
        <v>173</v>
      </c>
      <c r="M25" s="4" t="s">
        <v>69</v>
      </c>
    </row>
    <row r="26" spans="7:13" x14ac:dyDescent="0.2">
      <c r="G26" s="4"/>
      <c r="H26" s="4"/>
      <c r="I26" s="4">
        <v>5</v>
      </c>
      <c r="J26" s="4">
        <v>17</v>
      </c>
      <c r="K26" s="4">
        <f t="shared" si="0"/>
        <v>173</v>
      </c>
      <c r="L26" s="4">
        <f t="shared" si="1"/>
        <v>156</v>
      </c>
      <c r="M26" s="4" t="s">
        <v>69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2" sqref="N2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4" x14ac:dyDescent="0.2">
      <c r="A1" s="6" t="s">
        <v>62</v>
      </c>
      <c r="B1" s="4" t="s">
        <v>11</v>
      </c>
      <c r="C1" s="20">
        <f>'Lote econômico'!G8</f>
        <v>131.13043478260869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74</v>
      </c>
      <c r="N1" s="31" t="s">
        <v>76</v>
      </c>
    </row>
    <row r="2" spans="1:14" x14ac:dyDescent="0.2">
      <c r="A2" s="6" t="s">
        <v>28</v>
      </c>
      <c r="B2" s="4" t="s">
        <v>6</v>
      </c>
      <c r="C2" s="6">
        <f>'Lote econômico'!G5</f>
        <v>1</v>
      </c>
      <c r="D2" s="6" t="s">
        <v>7</v>
      </c>
      <c r="G2" s="4">
        <v>1</v>
      </c>
      <c r="H2" s="4">
        <v>80</v>
      </c>
      <c r="I2" s="4">
        <v>1</v>
      </c>
      <c r="J2" s="4">
        <f>H2/5</f>
        <v>16</v>
      </c>
      <c r="K2" s="4">
        <v>250</v>
      </c>
      <c r="L2" s="4">
        <f>K2-J2</f>
        <v>234</v>
      </c>
      <c r="M2" s="4" t="s">
        <v>75</v>
      </c>
      <c r="N2" s="4">
        <f>CEILING('RP - Bisovil'!$C$1*(5+'RP - Bisovil'!$C$7)/5-'RP - Bisovil'!L2+'RP - Bisovil'!$C$3,1)</f>
        <v>300</v>
      </c>
    </row>
    <row r="3" spans="1:14" x14ac:dyDescent="0.2">
      <c r="A3" s="6" t="s">
        <v>19</v>
      </c>
      <c r="B3" s="4" t="s">
        <v>63</v>
      </c>
      <c r="C3" s="6">
        <f>CEILING('Estoque de Segurança'!C10,1)</f>
        <v>72</v>
      </c>
      <c r="D3" s="6" t="s">
        <v>13</v>
      </c>
      <c r="G3" s="4"/>
      <c r="H3" s="4"/>
      <c r="I3" s="4">
        <v>2</v>
      </c>
      <c r="J3" s="4">
        <f>J2</f>
        <v>16</v>
      </c>
      <c r="K3" s="4">
        <f>L2</f>
        <v>234</v>
      </c>
      <c r="L3" s="4">
        <f>K3-J3</f>
        <v>218</v>
      </c>
      <c r="M3" s="4" t="s">
        <v>69</v>
      </c>
      <c r="N3" s="4" t="s">
        <v>69</v>
      </c>
    </row>
    <row r="4" spans="1:14" x14ac:dyDescent="0.2">
      <c r="A4" s="28" t="s">
        <v>15</v>
      </c>
      <c r="B4" s="4" t="s">
        <v>10</v>
      </c>
      <c r="C4" s="6">
        <v>331</v>
      </c>
      <c r="D4" s="28" t="s">
        <v>13</v>
      </c>
      <c r="G4" s="4"/>
      <c r="H4" s="4"/>
      <c r="I4" s="4">
        <v>3</v>
      </c>
      <c r="J4" s="4">
        <f>J3</f>
        <v>16</v>
      </c>
      <c r="K4" s="4">
        <f t="shared" ref="K4:K26" si="0">L3</f>
        <v>218</v>
      </c>
      <c r="L4" s="4">
        <f t="shared" ref="L4:L6" si="1">K4-J4</f>
        <v>202</v>
      </c>
      <c r="M4" s="4" t="s">
        <v>69</v>
      </c>
      <c r="N4" s="4" t="s">
        <v>69</v>
      </c>
    </row>
    <row r="5" spans="1:14" x14ac:dyDescent="0.2">
      <c r="A5" s="28" t="s">
        <v>70</v>
      </c>
      <c r="B5" s="4" t="s">
        <v>25</v>
      </c>
      <c r="C5" s="6">
        <f>'Lote econômico'!K3</f>
        <v>20.637627096493265</v>
      </c>
      <c r="D5" s="28" t="s">
        <v>42</v>
      </c>
      <c r="G5" s="4"/>
      <c r="H5" s="4"/>
      <c r="I5" s="4">
        <v>4</v>
      </c>
      <c r="J5" s="4">
        <f>J4</f>
        <v>16</v>
      </c>
      <c r="K5" s="4">
        <f t="shared" si="0"/>
        <v>202</v>
      </c>
      <c r="L5" s="4">
        <f t="shared" si="1"/>
        <v>186</v>
      </c>
      <c r="M5" s="4" t="s">
        <v>69</v>
      </c>
      <c r="N5" s="4" t="s">
        <v>69</v>
      </c>
    </row>
    <row r="6" spans="1:14" x14ac:dyDescent="0.2">
      <c r="G6" s="4"/>
      <c r="H6" s="4"/>
      <c r="I6" s="4">
        <v>5</v>
      </c>
      <c r="J6" s="4">
        <f>J5</f>
        <v>16</v>
      </c>
      <c r="K6" s="4">
        <f t="shared" si="0"/>
        <v>186</v>
      </c>
      <c r="L6" s="4">
        <f t="shared" si="1"/>
        <v>170</v>
      </c>
      <c r="M6" s="4" t="s">
        <v>69</v>
      </c>
      <c r="N6" s="4" t="s">
        <v>69</v>
      </c>
    </row>
    <row r="7" spans="1:14" x14ac:dyDescent="0.2">
      <c r="A7" s="21" t="s">
        <v>71</v>
      </c>
      <c r="B7" s="18" t="s">
        <v>72</v>
      </c>
      <c r="C7" s="29">
        <f>260/C5</f>
        <v>12.59834760965223</v>
      </c>
      <c r="D7" s="21" t="s">
        <v>73</v>
      </c>
      <c r="G7" s="4">
        <v>2</v>
      </c>
      <c r="H7" s="4">
        <v>143</v>
      </c>
      <c r="I7" s="4">
        <v>1</v>
      </c>
      <c r="J7" s="4">
        <v>29</v>
      </c>
      <c r="K7" s="4">
        <f t="shared" si="0"/>
        <v>170</v>
      </c>
      <c r="L7" s="4">
        <f>K7-J7+N2</f>
        <v>441</v>
      </c>
      <c r="M7" s="4" t="s">
        <v>69</v>
      </c>
      <c r="N7" s="4" t="s">
        <v>69</v>
      </c>
    </row>
    <row r="8" spans="1:14" x14ac:dyDescent="0.2">
      <c r="G8" s="4"/>
      <c r="H8" s="4"/>
      <c r="I8" s="4">
        <v>2</v>
      </c>
      <c r="J8" s="4">
        <v>28</v>
      </c>
      <c r="K8" s="4">
        <f t="shared" si="0"/>
        <v>441</v>
      </c>
      <c r="L8" s="4">
        <f t="shared" ref="L8" si="2">K8-J8</f>
        <v>413</v>
      </c>
      <c r="M8" s="4" t="s">
        <v>69</v>
      </c>
      <c r="N8" s="4" t="s">
        <v>69</v>
      </c>
    </row>
    <row r="9" spans="1:14" x14ac:dyDescent="0.2">
      <c r="G9" s="4"/>
      <c r="H9" s="4"/>
      <c r="I9" s="4">
        <v>3</v>
      </c>
      <c r="J9" s="4">
        <v>29</v>
      </c>
      <c r="K9" s="4">
        <f t="shared" si="0"/>
        <v>413</v>
      </c>
      <c r="L9" s="4">
        <f t="shared" ref="L9:L26" si="3">K9-J9</f>
        <v>384</v>
      </c>
      <c r="M9" s="4" t="s">
        <v>69</v>
      </c>
      <c r="N9" s="4" t="s">
        <v>69</v>
      </c>
    </row>
    <row r="10" spans="1:14" x14ac:dyDescent="0.2">
      <c r="G10" s="4"/>
      <c r="H10" s="4"/>
      <c r="I10" s="4">
        <v>4</v>
      </c>
      <c r="J10" s="4">
        <v>28</v>
      </c>
      <c r="K10" s="4">
        <f t="shared" si="0"/>
        <v>384</v>
      </c>
      <c r="L10" s="4">
        <f t="shared" si="3"/>
        <v>356</v>
      </c>
      <c r="M10" s="4" t="s">
        <v>69</v>
      </c>
      <c r="N10" s="4" t="s">
        <v>69</v>
      </c>
    </row>
    <row r="11" spans="1:14" x14ac:dyDescent="0.2">
      <c r="G11" s="4"/>
      <c r="H11" s="4"/>
      <c r="I11" s="4">
        <v>5</v>
      </c>
      <c r="J11" s="4">
        <v>29</v>
      </c>
      <c r="K11" s="4">
        <f t="shared" si="0"/>
        <v>356</v>
      </c>
      <c r="L11" s="4">
        <f t="shared" si="3"/>
        <v>327</v>
      </c>
      <c r="M11" s="4" t="s">
        <v>69</v>
      </c>
      <c r="N11" s="4" t="s">
        <v>69</v>
      </c>
    </row>
    <row r="12" spans="1:14" x14ac:dyDescent="0.2">
      <c r="G12" s="4">
        <v>3</v>
      </c>
      <c r="H12" s="4">
        <v>123</v>
      </c>
      <c r="I12" s="4">
        <v>1</v>
      </c>
      <c r="J12" s="4">
        <v>25</v>
      </c>
      <c r="K12" s="4">
        <f t="shared" si="0"/>
        <v>327</v>
      </c>
      <c r="L12" s="4">
        <f t="shared" si="3"/>
        <v>302</v>
      </c>
      <c r="M12" s="4" t="s">
        <v>69</v>
      </c>
      <c r="N12" s="4" t="s">
        <v>69</v>
      </c>
    </row>
    <row r="13" spans="1:14" x14ac:dyDescent="0.2">
      <c r="G13" s="4"/>
      <c r="H13" s="4"/>
      <c r="I13" s="4">
        <v>2</v>
      </c>
      <c r="J13" s="4">
        <v>24</v>
      </c>
      <c r="K13" s="4">
        <f t="shared" si="0"/>
        <v>302</v>
      </c>
      <c r="L13" s="4">
        <f t="shared" si="3"/>
        <v>278</v>
      </c>
      <c r="M13" s="4" t="s">
        <v>69</v>
      </c>
      <c r="N13" s="4" t="s">
        <v>69</v>
      </c>
    </row>
    <row r="14" spans="1:14" x14ac:dyDescent="0.2">
      <c r="G14" s="4"/>
      <c r="H14" s="4"/>
      <c r="I14" s="4">
        <v>3</v>
      </c>
      <c r="J14" s="4">
        <v>25</v>
      </c>
      <c r="K14" s="4">
        <f t="shared" si="0"/>
        <v>278</v>
      </c>
      <c r="L14" s="4">
        <f t="shared" si="3"/>
        <v>253</v>
      </c>
      <c r="M14" s="4" t="s">
        <v>75</v>
      </c>
      <c r="N14" s="4">
        <f>CEILING('RP - Bisovil'!$C$1*(5+'RP - Bisovil'!$C$7)/5-'RP - Bisovil'!L14+'RP - Bisovil'!$C$3,1)</f>
        <v>281</v>
      </c>
    </row>
    <row r="15" spans="1:14" x14ac:dyDescent="0.2">
      <c r="G15" s="4"/>
      <c r="H15" s="4"/>
      <c r="I15" s="4">
        <v>4</v>
      </c>
      <c r="J15" s="4">
        <v>24</v>
      </c>
      <c r="K15" s="4">
        <f t="shared" si="0"/>
        <v>253</v>
      </c>
      <c r="L15" s="4">
        <f t="shared" si="3"/>
        <v>229</v>
      </c>
      <c r="M15" s="4" t="s">
        <v>69</v>
      </c>
      <c r="N15" s="4" t="s">
        <v>69</v>
      </c>
    </row>
    <row r="16" spans="1:14" x14ac:dyDescent="0.2">
      <c r="G16" s="4"/>
      <c r="H16" s="4"/>
      <c r="I16" s="4">
        <v>5</v>
      </c>
      <c r="J16" s="4">
        <v>25</v>
      </c>
      <c r="K16" s="4">
        <f t="shared" si="0"/>
        <v>229</v>
      </c>
      <c r="L16" s="4">
        <f t="shared" si="3"/>
        <v>204</v>
      </c>
      <c r="M16" s="4" t="s">
        <v>69</v>
      </c>
      <c r="N16" s="4" t="s">
        <v>69</v>
      </c>
    </row>
    <row r="17" spans="7:14" x14ac:dyDescent="0.2">
      <c r="G17" s="4">
        <v>4</v>
      </c>
      <c r="H17" s="4">
        <v>157</v>
      </c>
      <c r="I17" s="4">
        <v>1</v>
      </c>
      <c r="J17" s="4">
        <v>31</v>
      </c>
      <c r="K17" s="4">
        <f t="shared" si="0"/>
        <v>204</v>
      </c>
      <c r="L17" s="4">
        <f t="shared" si="3"/>
        <v>173</v>
      </c>
      <c r="M17" s="4" t="s">
        <v>69</v>
      </c>
      <c r="N17" s="4" t="s">
        <v>69</v>
      </c>
    </row>
    <row r="18" spans="7:14" x14ac:dyDescent="0.2">
      <c r="G18" s="4"/>
      <c r="H18" s="4"/>
      <c r="I18" s="4">
        <v>2</v>
      </c>
      <c r="J18" s="4">
        <v>32</v>
      </c>
      <c r="K18" s="4">
        <f t="shared" si="0"/>
        <v>173</v>
      </c>
      <c r="L18" s="4">
        <f t="shared" si="3"/>
        <v>141</v>
      </c>
      <c r="M18" s="4" t="s">
        <v>69</v>
      </c>
      <c r="N18" s="4" t="s">
        <v>69</v>
      </c>
    </row>
    <row r="19" spans="7:14" x14ac:dyDescent="0.2">
      <c r="G19" s="4"/>
      <c r="H19" s="4"/>
      <c r="I19" s="4">
        <v>3</v>
      </c>
      <c r="J19" s="4">
        <v>31</v>
      </c>
      <c r="K19" s="4">
        <f t="shared" si="0"/>
        <v>141</v>
      </c>
      <c r="L19" s="4">
        <f>K19-J19+N14</f>
        <v>391</v>
      </c>
      <c r="M19" s="4" t="s">
        <v>69</v>
      </c>
      <c r="N19" s="4" t="s">
        <v>69</v>
      </c>
    </row>
    <row r="20" spans="7:14" x14ac:dyDescent="0.2">
      <c r="G20" s="4"/>
      <c r="H20" s="4"/>
      <c r="I20" s="4">
        <v>4</v>
      </c>
      <c r="J20" s="4">
        <v>32</v>
      </c>
      <c r="K20" s="4">
        <f t="shared" si="0"/>
        <v>391</v>
      </c>
      <c r="L20" s="4">
        <f t="shared" si="3"/>
        <v>359</v>
      </c>
      <c r="M20" s="4" t="s">
        <v>69</v>
      </c>
      <c r="N20" s="4" t="s">
        <v>69</v>
      </c>
    </row>
    <row r="21" spans="7:14" x14ac:dyDescent="0.2">
      <c r="G21" s="4"/>
      <c r="H21" s="4"/>
      <c r="I21" s="4">
        <v>5</v>
      </c>
      <c r="J21" s="4">
        <v>31</v>
      </c>
      <c r="K21" s="4">
        <f t="shared" si="0"/>
        <v>359</v>
      </c>
      <c r="L21" s="4">
        <f t="shared" si="3"/>
        <v>328</v>
      </c>
      <c r="M21" s="4" t="s">
        <v>69</v>
      </c>
      <c r="N21" s="4" t="s">
        <v>69</v>
      </c>
    </row>
    <row r="22" spans="7:14" x14ac:dyDescent="0.2">
      <c r="G22" s="4">
        <v>5</v>
      </c>
      <c r="H22" s="4">
        <v>144</v>
      </c>
      <c r="I22" s="4">
        <v>1</v>
      </c>
      <c r="J22" s="4">
        <v>28</v>
      </c>
      <c r="K22" s="4">
        <f t="shared" si="0"/>
        <v>328</v>
      </c>
      <c r="L22" s="4">
        <f t="shared" si="3"/>
        <v>300</v>
      </c>
      <c r="M22" s="4" t="s">
        <v>69</v>
      </c>
      <c r="N22" s="4" t="s">
        <v>69</v>
      </c>
    </row>
    <row r="23" spans="7:14" x14ac:dyDescent="0.2">
      <c r="G23" s="4"/>
      <c r="H23" s="4"/>
      <c r="I23" s="4">
        <v>2</v>
      </c>
      <c r="J23" s="4">
        <v>29</v>
      </c>
      <c r="K23" s="4">
        <f t="shared" si="0"/>
        <v>300</v>
      </c>
      <c r="L23" s="4">
        <f t="shared" si="3"/>
        <v>271</v>
      </c>
      <c r="M23" s="4" t="s">
        <v>69</v>
      </c>
      <c r="N23" s="4" t="s">
        <v>69</v>
      </c>
    </row>
    <row r="24" spans="7:14" x14ac:dyDescent="0.2">
      <c r="G24" s="4"/>
      <c r="H24" s="4"/>
      <c r="I24" s="4">
        <v>3</v>
      </c>
      <c r="J24" s="4">
        <v>29</v>
      </c>
      <c r="K24" s="4">
        <f t="shared" si="0"/>
        <v>271</v>
      </c>
      <c r="L24" s="4">
        <f t="shared" si="3"/>
        <v>242</v>
      </c>
      <c r="M24" s="4" t="s">
        <v>69</v>
      </c>
      <c r="N24" s="4" t="s">
        <v>69</v>
      </c>
    </row>
    <row r="25" spans="7:14" x14ac:dyDescent="0.2">
      <c r="G25" s="4"/>
      <c r="H25" s="4"/>
      <c r="I25" s="4">
        <v>4</v>
      </c>
      <c r="J25" s="4">
        <v>29</v>
      </c>
      <c r="K25" s="4">
        <f t="shared" si="0"/>
        <v>242</v>
      </c>
      <c r="L25" s="4">
        <f t="shared" si="3"/>
        <v>213</v>
      </c>
      <c r="M25" s="4" t="s">
        <v>69</v>
      </c>
      <c r="N25" s="4" t="s">
        <v>69</v>
      </c>
    </row>
    <row r="26" spans="7:14" x14ac:dyDescent="0.2">
      <c r="G26" s="4"/>
      <c r="H26" s="4"/>
      <c r="I26" s="4">
        <v>5</v>
      </c>
      <c r="J26" s="4">
        <v>29</v>
      </c>
      <c r="K26" s="4">
        <f t="shared" si="0"/>
        <v>213</v>
      </c>
      <c r="L26" s="4">
        <f t="shared" si="3"/>
        <v>184</v>
      </c>
      <c r="M26" s="4" t="s">
        <v>75</v>
      </c>
      <c r="N26" s="4">
        <f>CEILING('RP - Bisovil'!$C$1*(5+'RP - Bisovil'!$C$7)/5-'RP - Bisovil'!L26+'RP - Bisovil'!$C$3,1)</f>
        <v>350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Lote econômico</vt:lpstr>
      <vt:lpstr>Bisovil</vt:lpstr>
      <vt:lpstr>Bisovil - Variação</vt:lpstr>
      <vt:lpstr>Liparase</vt:lpstr>
      <vt:lpstr>Liparase - Variação</vt:lpstr>
      <vt:lpstr>Estoque de Segurança</vt:lpstr>
      <vt:lpstr>PR - Bisovil</vt:lpstr>
      <vt:lpstr>PR - Liparase</vt:lpstr>
      <vt:lpstr>RP - Bisovil</vt:lpstr>
      <vt:lpstr>RP - Liparase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2016-03-28T18:46:49Z</dcterms:created>
  <dcterms:modified xsi:type="dcterms:W3CDTF">2016-09-02T18:53:31Z</dcterms:modified>
</cp:coreProperties>
</file>