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wtol\Downloads\"/>
    </mc:Choice>
  </mc:AlternateContent>
  <xr:revisionPtr revIDLastSave="0" documentId="13_ncr:1_{10A5D206-9DE6-4961-B558-CC5A9CD1AAC5}" xr6:coauthVersionLast="47" xr6:coauthVersionMax="47" xr10:uidLastSave="{00000000-0000-0000-0000-000000000000}"/>
  <bookViews>
    <workbookView xWindow="-108" yWindow="-108" windowWidth="23256" windowHeight="12456" xr2:uid="{B1774101-836E-4AED-9346-3D7B3A890787}"/>
  </bookViews>
  <sheets>
    <sheet name="0. PROJETO GERAL" sheetId="10" r:id="rId1"/>
    <sheet name="1. DEFINIÇÕES DE TIRA" sheetId="9" r:id="rId2"/>
    <sheet name="2. LOCALIZAÇÃO DA ESPIGA" sheetId="1" r:id="rId3"/>
    <sheet name="3. DEFINIÇÕES DOS PUNÇÕES" sheetId="7" r:id="rId4"/>
    <sheet name="4. FORÇA DE CORTE" sheetId="4" r:id="rId5"/>
    <sheet name="5. FERRAMENTAS DE DOBRA" sheetId="3" r:id="rId6"/>
    <sheet name="6. FORÇA DE REPUXO" sheetId="5" r:id="rId7"/>
    <sheet name="7. MATERIAIS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7" l="1"/>
  <c r="F7" i="9"/>
  <c r="F66" i="3"/>
  <c r="F78" i="3"/>
  <c r="F83" i="3" s="1"/>
  <c r="V40" i="7"/>
  <c r="Y40" i="7" s="1"/>
  <c r="F71" i="7"/>
  <c r="H40" i="9"/>
  <c r="I50" i="9"/>
  <c r="E40" i="9"/>
  <c r="F78" i="7"/>
  <c r="V50" i="7"/>
  <c r="Y50" i="7"/>
  <c r="V51" i="7"/>
  <c r="S50" i="7"/>
  <c r="S35" i="7"/>
  <c r="Y35" i="7"/>
  <c r="Y30" i="7"/>
  <c r="Y25" i="7"/>
  <c r="Y17" i="7"/>
  <c r="V35" i="7"/>
  <c r="V30" i="7"/>
  <c r="V25" i="7"/>
  <c r="V12" i="7"/>
  <c r="V11" i="7"/>
  <c r="V19" i="7"/>
  <c r="V18" i="7"/>
  <c r="G53" i="7"/>
  <c r="F53" i="7"/>
  <c r="H35" i="7"/>
  <c r="G35" i="7"/>
  <c r="F35" i="7"/>
  <c r="F36" i="7"/>
  <c r="G36" i="7"/>
  <c r="G32" i="9"/>
  <c r="H50" i="9" s="1"/>
  <c r="H41" i="5"/>
  <c r="D15" i="3"/>
  <c r="J7" i="4"/>
  <c r="G11" i="4" s="1"/>
  <c r="K53" i="7"/>
  <c r="L53" i="7"/>
  <c r="E15" i="5"/>
  <c r="E31" i="5" s="1"/>
  <c r="E32" i="5" s="1"/>
  <c r="Y5" i="7"/>
  <c r="D29" i="1"/>
  <c r="D28" i="1"/>
  <c r="F72" i="9"/>
  <c r="F15" i="5"/>
  <c r="F31" i="5" s="1"/>
  <c r="F32" i="5" s="1"/>
  <c r="F33" i="5" s="1"/>
  <c r="F34" i="5" s="1"/>
  <c r="F35" i="5" s="1"/>
  <c r="F36" i="5" s="1"/>
  <c r="F37" i="5" s="1"/>
  <c r="F38" i="5" s="1"/>
  <c r="F54" i="5" s="1"/>
  <c r="G15" i="5"/>
  <c r="G31" i="5" s="1"/>
  <c r="G32" i="5" s="1"/>
  <c r="G33" i="5" s="1"/>
  <c r="G34" i="5" s="1"/>
  <c r="G35" i="5" s="1"/>
  <c r="G36" i="5" s="1"/>
  <c r="G37" i="5" s="1"/>
  <c r="G38" i="5" s="1"/>
  <c r="G54" i="5" s="1"/>
  <c r="H15" i="5"/>
  <c r="H31" i="5" s="1"/>
  <c r="I15" i="5"/>
  <c r="I31" i="5" s="1"/>
  <c r="J15" i="5"/>
  <c r="J31" i="5" s="1"/>
  <c r="J32" i="5" s="1"/>
  <c r="J33" i="5" s="1"/>
  <c r="J34" i="5" s="1"/>
  <c r="J35" i="5" s="1"/>
  <c r="J36" i="5" s="1"/>
  <c r="J37" i="5" s="1"/>
  <c r="J38" i="5" s="1"/>
  <c r="J54" i="5" s="1"/>
  <c r="K15" i="5"/>
  <c r="K31" i="5" s="1"/>
  <c r="AF76" i="5"/>
  <c r="AF67" i="5"/>
  <c r="AF59" i="5"/>
  <c r="AF51" i="5"/>
  <c r="AF43" i="5"/>
  <c r="AF36" i="5"/>
  <c r="AF28" i="5"/>
  <c r="AF20" i="5"/>
  <c r="AF13" i="5"/>
  <c r="AF5" i="5"/>
  <c r="X79" i="5"/>
  <c r="X70" i="5"/>
  <c r="X61" i="5"/>
  <c r="X53" i="5"/>
  <c r="X46" i="5"/>
  <c r="X38" i="5"/>
  <c r="X30" i="5"/>
  <c r="X22" i="5"/>
  <c r="X13" i="5"/>
  <c r="X5" i="5"/>
  <c r="G78" i="3"/>
  <c r="G83" i="3" s="1"/>
  <c r="H78" i="3"/>
  <c r="H83" i="3" s="1"/>
  <c r="I78" i="3"/>
  <c r="I83" i="3" s="1"/>
  <c r="J78" i="3"/>
  <c r="J83" i="3" s="1"/>
  <c r="K78" i="3"/>
  <c r="K83" i="3" s="1"/>
  <c r="L78" i="3"/>
  <c r="L83" i="3" s="1"/>
  <c r="H44" i="3"/>
  <c r="V47" i="7"/>
  <c r="V46" i="7"/>
  <c r="Y46" i="7" s="1"/>
  <c r="S46" i="7"/>
  <c r="S40" i="7"/>
  <c r="S30" i="7"/>
  <c r="S25" i="7"/>
  <c r="Y18" i="7"/>
  <c r="V17" i="7"/>
  <c r="S17" i="7"/>
  <c r="S11" i="7"/>
  <c r="Y12" i="7"/>
  <c r="Y11" i="7"/>
  <c r="Y4" i="7"/>
  <c r="V5" i="7"/>
  <c r="V4" i="7"/>
  <c r="S4" i="7"/>
  <c r="G71" i="7"/>
  <c r="G78" i="7" s="1"/>
  <c r="H71" i="7"/>
  <c r="H78" i="7" s="1"/>
  <c r="I71" i="7"/>
  <c r="I78" i="7" s="1"/>
  <c r="J71" i="7"/>
  <c r="J78" i="7" s="1"/>
  <c r="K71" i="7"/>
  <c r="K78" i="7" s="1"/>
  <c r="L71" i="7"/>
  <c r="L78" i="7" s="1"/>
  <c r="H53" i="7"/>
  <c r="I53" i="7"/>
  <c r="J53" i="7"/>
  <c r="H38" i="7"/>
  <c r="H37" i="7"/>
  <c r="F51" i="5" l="1"/>
  <c r="G50" i="5"/>
  <c r="J52" i="5"/>
  <c r="F50" i="5"/>
  <c r="G49" i="5"/>
  <c r="J51" i="5"/>
  <c r="F49" i="5"/>
  <c r="G52" i="5"/>
  <c r="J49" i="5"/>
  <c r="F52" i="5"/>
  <c r="J48" i="5"/>
  <c r="J53" i="5"/>
  <c r="G51" i="5"/>
  <c r="G48" i="5"/>
  <c r="F48" i="5"/>
  <c r="G53" i="5"/>
  <c r="J50" i="5"/>
  <c r="F53" i="5"/>
  <c r="E48" i="5"/>
  <c r="F67" i="3"/>
  <c r="F22" i="10"/>
  <c r="H42" i="9"/>
  <c r="I61" i="9" s="1"/>
  <c r="I8" i="3"/>
  <c r="J20" i="3"/>
  <c r="I11" i="4"/>
  <c r="I26" i="4" s="1"/>
  <c r="I32" i="4" s="1"/>
  <c r="G33" i="9"/>
  <c r="D20" i="4"/>
  <c r="D19" i="4"/>
  <c r="D21" i="4"/>
  <c r="E20" i="4"/>
  <c r="D11" i="4"/>
  <c r="D26" i="4" s="1"/>
  <c r="E19" i="4"/>
  <c r="F47" i="5"/>
  <c r="K47" i="5"/>
  <c r="E47" i="5"/>
  <c r="J47" i="5"/>
  <c r="I47" i="5"/>
  <c r="H47" i="5"/>
  <c r="G47" i="5"/>
  <c r="H43" i="3"/>
  <c r="J66" i="3"/>
  <c r="E11" i="4"/>
  <c r="E26" i="4" s="1"/>
  <c r="E32" i="4" s="1"/>
  <c r="E21" i="4"/>
  <c r="F11" i="4"/>
  <c r="F26" i="4" s="1"/>
  <c r="F32" i="4" s="1"/>
  <c r="G26" i="4"/>
  <c r="G33" i="4" s="1"/>
  <c r="H11" i="4"/>
  <c r="H26" i="4" s="1"/>
  <c r="H33" i="4" s="1"/>
  <c r="J11" i="4"/>
  <c r="J26" i="4" s="1"/>
  <c r="J33" i="4" s="1"/>
  <c r="E33" i="5"/>
  <c r="E34" i="5" s="1"/>
  <c r="E35" i="5" s="1"/>
  <c r="E36" i="5" s="1"/>
  <c r="E37" i="5" s="1"/>
  <c r="E53" i="5" s="1"/>
  <c r="K32" i="5"/>
  <c r="I32" i="5"/>
  <c r="H32" i="5"/>
  <c r="H66" i="3"/>
  <c r="G66" i="3"/>
  <c r="I66" i="3"/>
  <c r="G67" i="3"/>
  <c r="I65" i="3"/>
  <c r="F65" i="3"/>
  <c r="L67" i="3"/>
  <c r="K67" i="3"/>
  <c r="J67" i="3"/>
  <c r="H67" i="3"/>
  <c r="I67" i="3"/>
  <c r="L66" i="3"/>
  <c r="H65" i="3"/>
  <c r="K66" i="3"/>
  <c r="F33" i="7"/>
  <c r="F34" i="7" s="1"/>
  <c r="G50" i="9"/>
  <c r="J65" i="3"/>
  <c r="L65" i="3"/>
  <c r="K65" i="3"/>
  <c r="G65" i="3"/>
  <c r="G33" i="7"/>
  <c r="G34" i="7" s="1"/>
  <c r="H36" i="7"/>
  <c r="H33" i="7" s="1"/>
  <c r="J55" i="5" l="1"/>
  <c r="G55" i="5"/>
  <c r="E52" i="5"/>
  <c r="H33" i="5"/>
  <c r="H48" i="5"/>
  <c r="I33" i="5"/>
  <c r="I48" i="5"/>
  <c r="E49" i="5"/>
  <c r="F55" i="5"/>
  <c r="K33" i="5"/>
  <c r="K48" i="5"/>
  <c r="E51" i="5"/>
  <c r="E50" i="5"/>
  <c r="E38" i="5"/>
  <c r="E54" i="5" s="1"/>
  <c r="K23" i="3"/>
  <c r="I59" i="9"/>
  <c r="I58" i="9"/>
  <c r="I72" i="9"/>
  <c r="F47" i="10" s="1"/>
  <c r="I68" i="9"/>
  <c r="I52" i="9"/>
  <c r="I57" i="9"/>
  <c r="I53" i="9"/>
  <c r="I71" i="9"/>
  <c r="I70" i="9"/>
  <c r="I54" i="9"/>
  <c r="I66" i="9"/>
  <c r="I64" i="9"/>
  <c r="I55" i="9"/>
  <c r="I63" i="9"/>
  <c r="I60" i="9"/>
  <c r="I69" i="9"/>
  <c r="I65" i="9"/>
  <c r="I62" i="9"/>
  <c r="I56" i="9"/>
  <c r="I67" i="9"/>
  <c r="I51" i="9"/>
  <c r="D33" i="4"/>
  <c r="F17" i="10"/>
  <c r="I33" i="4"/>
  <c r="I39" i="4" s="1"/>
  <c r="D32" i="4"/>
  <c r="H32" i="4"/>
  <c r="H39" i="4" s="1"/>
  <c r="F33" i="4"/>
  <c r="F39" i="4" s="1"/>
  <c r="G32" i="4"/>
  <c r="G39" i="4" s="1"/>
  <c r="E33" i="4"/>
  <c r="E39" i="4" s="1"/>
  <c r="J32" i="4"/>
  <c r="J39" i="4" s="1"/>
  <c r="G67" i="9"/>
  <c r="G69" i="9"/>
  <c r="G68" i="9"/>
  <c r="G51" i="9"/>
  <c r="G56" i="9"/>
  <c r="G72" i="9"/>
  <c r="G61" i="9"/>
  <c r="G66" i="9"/>
  <c r="G71" i="9"/>
  <c r="G55" i="9"/>
  <c r="G60" i="9"/>
  <c r="G65" i="9"/>
  <c r="G64" i="9"/>
  <c r="G53" i="9"/>
  <c r="G58" i="9"/>
  <c r="G63" i="9"/>
  <c r="G52" i="9"/>
  <c r="G57" i="9"/>
  <c r="G62" i="9"/>
  <c r="G70" i="9"/>
  <c r="G54" i="9"/>
  <c r="G59" i="9"/>
  <c r="H64" i="9"/>
  <c r="H69" i="9"/>
  <c r="H63" i="9"/>
  <c r="H68" i="9"/>
  <c r="H67" i="9"/>
  <c r="H51" i="9"/>
  <c r="H72" i="9"/>
  <c r="H56" i="9"/>
  <c r="H61" i="9"/>
  <c r="H66" i="9"/>
  <c r="H71" i="9"/>
  <c r="H55" i="9"/>
  <c r="H60" i="9"/>
  <c r="H65" i="9"/>
  <c r="H70" i="9"/>
  <c r="H54" i="9"/>
  <c r="H59" i="9"/>
  <c r="H53" i="9"/>
  <c r="H58" i="9"/>
  <c r="H52" i="9"/>
  <c r="H57" i="9"/>
  <c r="H62" i="9"/>
  <c r="H34" i="7"/>
  <c r="E55" i="5" l="1"/>
  <c r="H34" i="5"/>
  <c r="H49" i="5"/>
  <c r="K34" i="5"/>
  <c r="K49" i="5"/>
  <c r="I34" i="5"/>
  <c r="I49" i="5"/>
  <c r="D39" i="4"/>
  <c r="J60" i="5"/>
  <c r="J65" i="5" s="1"/>
  <c r="K35" i="5" l="1"/>
  <c r="K50" i="5"/>
  <c r="I35" i="5"/>
  <c r="I50" i="5"/>
  <c r="H35" i="5"/>
  <c r="H50" i="5"/>
  <c r="F60" i="5"/>
  <c r="F65" i="5" s="1"/>
  <c r="G60" i="5"/>
  <c r="G65" i="5" s="1"/>
  <c r="H36" i="5" l="1"/>
  <c r="H51" i="5"/>
  <c r="I36" i="5"/>
  <c r="I51" i="5"/>
  <c r="K36" i="5"/>
  <c r="K51" i="5"/>
  <c r="E60" i="5"/>
  <c r="K37" i="5" l="1"/>
  <c r="K52" i="5"/>
  <c r="I37" i="5"/>
  <c r="I52" i="5"/>
  <c r="H37" i="5"/>
  <c r="H52" i="5"/>
  <c r="E65" i="5"/>
  <c r="H38" i="5" l="1"/>
  <c r="H54" i="5" s="1"/>
  <c r="H53" i="5"/>
  <c r="I38" i="5"/>
  <c r="I54" i="5" s="1"/>
  <c r="I53" i="5"/>
  <c r="K38" i="5"/>
  <c r="K54" i="5" s="1"/>
  <c r="K55" i="5" s="1"/>
  <c r="K60" i="5" s="1"/>
  <c r="K65" i="5" s="1"/>
  <c r="K53" i="5"/>
  <c r="I55" i="5" l="1"/>
  <c r="I60" i="5" s="1"/>
  <c r="I65" i="5" s="1"/>
  <c r="H55" i="5"/>
  <c r="H60" i="5" l="1"/>
  <c r="F27" i="10"/>
  <c r="H65" i="5" l="1"/>
  <c r="F37" i="10" s="1"/>
  <c r="F42" i="10" s="1"/>
  <c r="F32" i="10"/>
</calcChain>
</file>

<file path=xl/sharedStrings.xml><?xml version="1.0" encoding="utf-8"?>
<sst xmlns="http://schemas.openxmlformats.org/spreadsheetml/2006/main" count="483" uniqueCount="269">
  <si>
    <t>Espessura (mm)</t>
  </si>
  <si>
    <t>A ou B</t>
  </si>
  <si>
    <t>x</t>
  </si>
  <si>
    <t>t</t>
  </si>
  <si>
    <t>z</t>
  </si>
  <si>
    <t>ε</t>
  </si>
  <si>
    <t>δ</t>
  </si>
  <si>
    <t>0,2–0,5</t>
  </si>
  <si>
    <t>10
10–30
30–100
100–300</t>
  </si>
  <si>
    <t>0,5
0,5–1
1–2
2–3</t>
  </si>
  <si>
    <t>0,5–1,2
1,2–2
2–3
3–5</t>
  </si>
  <si>
    <t>1
1–1,5
1,5–2
2–2,5</t>
  </si>
  <si>
    <t>3
3
3,5
4</t>
  </si>
  <si>
    <t>0,5–1</t>
  </si>
  <si>
    <t>1
1–1,5
1,5–2
2–3,5</t>
  </si>
  <si>
    <t>1,5
1,5–2
2–2,5
2,5–3</t>
  </si>
  <si>
    <t>3
3,5
4
5</t>
  </si>
  <si>
    <t>1–1,5</t>
  </si>
  <si>
    <t>1,5
1,5–2
2–2,5
2,5–3,5</t>
  </si>
  <si>
    <t>1,5–2
2–2,5
2,5–3,5
3,5–6</t>
  </si>
  <si>
    <t>1,5–2</t>
  </si>
  <si>
    <t>2
2–2,5
2,5–3,5
3,5–5</t>
  </si>
  <si>
    <t>2–3</t>
  </si>
  <si>
    <t>3
3–3,5
3,5–4,5
4,5–6</t>
  </si>
  <si>
    <t>3–5</t>
  </si>
  <si>
    <t>5
5–5,5
5,5–6
6–8</t>
  </si>
  <si>
    <t>5–5,5
5,5–6
6–8
8–10</t>
  </si>
  <si>
    <t>5
5–6
6–7
7–8</t>
  </si>
  <si>
    <t>0,5
0,5
0,5–1
1–2</t>
  </si>
  <si>
    <t>1–1,5
1,5–2
2–3,5
3,5–5,5</t>
  </si>
  <si>
    <t>1
1
1–2
2–3</t>
  </si>
  <si>
    <t>3
3,5
4
4</t>
  </si>
  <si>
    <t>2
2–2,5
2,5–3
3–3,5</t>
  </si>
  <si>
    <t>1,5
1,5
1,5–2,5
2,5–3,5</t>
  </si>
  <si>
    <t>2–2,5
2,5–3,5
3,5–5
5–6</t>
  </si>
  <si>
    <t>2,5
2,5
2,5-3
3–5</t>
  </si>
  <si>
    <t>2
2
2–3
3–4</t>
  </si>
  <si>
    <t>3,5
4
4
5</t>
  </si>
  <si>
    <t>4
4
5
6</t>
  </si>
  <si>
    <t>5
5
6
8</t>
  </si>
  <si>
    <t>3–3,5
3,5–4
4–5
5–6</t>
  </si>
  <si>
    <t>3,5
3,5–4
4–4,5
4,5–5</t>
  </si>
  <si>
    <t>3
3
3,5–4,5
4,5–6</t>
  </si>
  <si>
    <t>5
6
6–8
8–10</t>
  </si>
  <si>
    <t>Aço doce, ferro, latão, bronze fosforoso, alumínio e similares</t>
  </si>
  <si>
    <t>1. A partir da peça desejada forneça valores de espessura da chapa.</t>
  </si>
  <si>
    <t>A</t>
  </si>
  <si>
    <t>B</t>
  </si>
  <si>
    <t>A =</t>
  </si>
  <si>
    <t>B =</t>
  </si>
  <si>
    <t>x =</t>
  </si>
  <si>
    <t>t =</t>
  </si>
  <si>
    <t>z =</t>
  </si>
  <si>
    <t>ε =</t>
  </si>
  <si>
    <t>δ =</t>
  </si>
  <si>
    <t>2. A partir da espessura informada acima, com base nos parâmetros abaixo e com base na peça desejada, arbitre valores para os seguintes parâmetros da tabela a seguir:</t>
  </si>
  <si>
    <t>(caso não deseje utilizar facas de avanço, colocar 0)</t>
  </si>
  <si>
    <t>Operação de corte</t>
  </si>
  <si>
    <t>4. Com os parâmetros acima definido indique abaixo as áreas de material descartado cortadas nas operações de corte (preencha apenas até o número de operações a serem realizadas) :</t>
  </si>
  <si>
    <t>3. A partir dos parâmetros definidos acima pode-se obter a largura da chapa e o rendimento específico da chapa :</t>
  </si>
  <si>
    <t>(caso não deseje utilizar pinos piloto, colocar 0)</t>
  </si>
  <si>
    <t>Largura ideal</t>
  </si>
  <si>
    <t>Largura normal</t>
  </si>
  <si>
    <t>Largura desejada</t>
  </si>
  <si>
    <t>5.1 Caso deseje verificar comprimentos e larguras diferentes</t>
  </si>
  <si>
    <t>C =</t>
  </si>
  <si>
    <t>L =</t>
  </si>
  <si>
    <t>Aproveitamento de material da operação (%)</t>
  </si>
  <si>
    <r>
      <t>Espessura (</t>
    </r>
    <r>
      <rPr>
        <sz val="11"/>
        <color theme="1"/>
        <rFont val="Aptos Narrow"/>
        <family val="2"/>
      </rPr>
      <t xml:space="preserve">e) em [mm] = </t>
    </r>
  </si>
  <si>
    <r>
      <t>Largura mínima (L)</t>
    </r>
    <r>
      <rPr>
        <sz val="11"/>
        <color theme="1"/>
        <rFont val="Aptos Narrow"/>
        <family val="2"/>
      </rPr>
      <t xml:space="preserve"> global da chapa</t>
    </r>
    <r>
      <rPr>
        <sz val="11"/>
        <color theme="1"/>
        <rFont val="Aptos Narrow"/>
        <family val="2"/>
        <scheme val="minor"/>
      </rPr>
      <t xml:space="preserve">  [mm] = </t>
    </r>
  </si>
  <si>
    <r>
      <t>Número de peças</t>
    </r>
    <r>
      <rPr>
        <sz val="11"/>
        <color theme="1"/>
        <rFont val="Aptos Narrow"/>
        <family val="2"/>
      </rPr>
      <t xml:space="preserve">  para chapa de 1 [       </t>
    </r>
    <r>
      <rPr>
        <sz val="11"/>
        <color theme="1"/>
        <rFont val="Aptos Narrow"/>
        <family val="2"/>
        <scheme val="minor"/>
      </rPr>
      <t xml:space="preserve"> ] = </t>
    </r>
  </si>
  <si>
    <t>1. O comprimento de um punção pode ser calculado a partir dos parâmetros destacados na imagem abaixo:</t>
  </si>
  <si>
    <t>é a espessura do extrator</t>
  </si>
  <si>
    <t>é a espessura do porta punção</t>
  </si>
  <si>
    <t>é a espessura da guia</t>
  </si>
  <si>
    <t>é a penetração na matriz</t>
  </si>
  <si>
    <t>é o comprimento de folga</t>
  </si>
  <si>
    <t>Sabe-se que:</t>
  </si>
  <si>
    <t>e</t>
  </si>
  <si>
    <r>
      <rPr>
        <sz val="11"/>
        <color theme="1"/>
        <rFont val="Aptos Narrow"/>
        <family val="2"/>
      </rPr>
      <t>≤</t>
    </r>
    <r>
      <rPr>
        <sz val="11"/>
        <color theme="1"/>
        <rFont val="Calibri"/>
        <family val="2"/>
      </rPr>
      <t xml:space="preserve"> 3mm</t>
    </r>
  </si>
  <si>
    <t xml:space="preserve"> 3,5 - 4 mm</t>
  </si>
  <si>
    <t>1,5 + e</t>
  </si>
  <si>
    <t>5 - 6,5 mm</t>
  </si>
  <si>
    <t>2 + e</t>
  </si>
  <si>
    <t>7 - 8 mm</t>
  </si>
  <si>
    <t>2,5 + e</t>
  </si>
  <si>
    <t>Portanto temos:</t>
  </si>
  <si>
    <t xml:space="preserve">l = </t>
  </si>
  <si>
    <t xml:space="preserve">Valor Superior </t>
  </si>
  <si>
    <t xml:space="preserve">Valor inferior </t>
  </si>
  <si>
    <t>média</t>
  </si>
  <si>
    <t xml:space="preserve">h = </t>
  </si>
  <si>
    <t>1.1 A partir da tabela abaixo escolha os valores para as variáveis</t>
  </si>
  <si>
    <t>Valor Escolhido</t>
  </si>
  <si>
    <t>Utilizando-se dos valores de área da secção do punção e da força calculada para ele, verifique</t>
  </si>
  <si>
    <t>No caso da hipótese acima ser falsa, o punção deverá ser fabricado em material com maior tensão admissivel</t>
  </si>
  <si>
    <t>Punção</t>
  </si>
  <si>
    <t>Força (F)</t>
  </si>
  <si>
    <t>Área (S)</t>
  </si>
  <si>
    <t>Tensão de escoamento admissivel para o material escolhido =</t>
  </si>
  <si>
    <t>Tensão</t>
  </si>
  <si>
    <t xml:space="preserve"> </t>
  </si>
  <si>
    <t>só é aplicável satisfeita a condição :</t>
  </si>
  <si>
    <t>λ</t>
  </si>
  <si>
    <t>E</t>
  </si>
  <si>
    <t xml:space="preserve">onde E é o Modulo de elasticidade do material do punção </t>
  </si>
  <si>
    <t>Caso a condição não seja satisfeita, pode-se descartar os efeitos de flambagem, se satisfeita utiliza-se:</t>
  </si>
  <si>
    <t xml:space="preserve">este valor de </t>
  </si>
  <si>
    <t/>
  </si>
  <si>
    <t>deve ser reduzido de 5 a 30 vezes, abaixo algumas soluções para a geometria do punção</t>
  </si>
  <si>
    <t>Variáveis</t>
  </si>
  <si>
    <t>Área da secção</t>
  </si>
  <si>
    <t>Momento de inércia</t>
  </si>
  <si>
    <t xml:space="preserve">J = </t>
  </si>
  <si>
    <t xml:space="preserve">Jz = </t>
  </si>
  <si>
    <t>Raio de inércia</t>
  </si>
  <si>
    <t>px =</t>
  </si>
  <si>
    <t>pz =</t>
  </si>
  <si>
    <t xml:space="preserve">b = </t>
  </si>
  <si>
    <t xml:space="preserve">Jx = </t>
  </si>
  <si>
    <t xml:space="preserve">Jy = </t>
  </si>
  <si>
    <t xml:space="preserve">R = </t>
  </si>
  <si>
    <t xml:space="preserve">o = </t>
  </si>
  <si>
    <t xml:space="preserve">a = </t>
  </si>
  <si>
    <t xml:space="preserve">d = </t>
  </si>
  <si>
    <t>2.A partir das tabelas da seção ao lado é necessário verificar se, primeiramente a tensão de trabalho do punção não ultrapassa a tensão admissivel do material</t>
  </si>
  <si>
    <t>Perímetro de corte (mm)</t>
  </si>
  <si>
    <t>tensão resistente de cisalhamento[                     ] =</t>
  </si>
  <si>
    <t>A partir das forças de corte podemos definir as forças de atrito e do Sujeitador:</t>
  </si>
  <si>
    <t>Força de Atrito (Kg)</t>
  </si>
  <si>
    <t>Força de corte (Kg)</t>
  </si>
  <si>
    <t>Força do Sujeitador (Kg)</t>
  </si>
  <si>
    <t>Para punções biselados ou côncavos, conforme imagem e fórmula:</t>
  </si>
  <si>
    <t>F'c (Kg)</t>
  </si>
  <si>
    <t>i (mm)</t>
  </si>
  <si>
    <t>Portanto a força Total para as operações de corte será:</t>
  </si>
  <si>
    <t>Ft (Kg)</t>
  </si>
  <si>
    <t>Força (kg)</t>
  </si>
  <si>
    <t>Os valores de i devem ser:</t>
  </si>
  <si>
    <t>Côncavo</t>
  </si>
  <si>
    <t>limite inferior</t>
  </si>
  <si>
    <t>limite Superior</t>
  </si>
  <si>
    <r>
      <t>Biselado, e</t>
    </r>
    <r>
      <rPr>
        <sz val="11"/>
        <color theme="1"/>
        <rFont val="Aptos Narrow"/>
        <family val="2"/>
      </rPr>
      <t>≤ 1,6</t>
    </r>
  </si>
  <si>
    <t>Biselado, e&gt;1,6</t>
  </si>
  <si>
    <t>1. Localização da Linha Neutra LN</t>
  </si>
  <si>
    <t>Y</t>
  </si>
  <si>
    <r>
      <t>Raio de dobra desejado (</t>
    </r>
    <r>
      <rPr>
        <sz val="11"/>
        <color theme="1"/>
        <rFont val="Aptos Narrow"/>
        <family val="2"/>
      </rPr>
      <t xml:space="preserve">r) em [mm] = </t>
    </r>
  </si>
  <si>
    <t>r/e</t>
  </si>
  <si>
    <r>
      <t>≤</t>
    </r>
    <r>
      <rPr>
        <sz val="11"/>
        <color rgb="FF000000"/>
        <rFont val="Calibri"/>
        <family val="2"/>
      </rPr>
      <t xml:space="preserve"> 0,5</t>
    </r>
  </si>
  <si>
    <r>
      <t>≥</t>
    </r>
    <r>
      <rPr>
        <sz val="11"/>
        <color rgb="FF000000"/>
        <rFont val="Calibri"/>
        <family val="2"/>
      </rPr>
      <t xml:space="preserve"> 5</t>
    </r>
  </si>
  <si>
    <t>Para os seguintes valores de B:</t>
  </si>
  <si>
    <t>A partir do valor de B tabelado, temos:</t>
  </si>
  <si>
    <t>Onde:</t>
  </si>
  <si>
    <t xml:space="preserve"> representa o alongamento em [%].</t>
  </si>
  <si>
    <t xml:space="preserve"> representa a tensão de ruptura à tração em [                ]</t>
  </si>
  <si>
    <t xml:space="preserve"> representa o comprimento inicial do segmento dobrado</t>
  </si>
  <si>
    <t xml:space="preserve"> representa o comprimento final do segmento dobrado</t>
  </si>
  <si>
    <t>2. Raio mínimo de dobra</t>
  </si>
  <si>
    <t>Portanto:</t>
  </si>
  <si>
    <t>3. Fenômeno de Springback</t>
  </si>
  <si>
    <t>Utilize o gráfico abaixo para realizar uma aprocimação de K</t>
  </si>
  <si>
    <t>A partir do valor de K podemos achar o raio e ângulo de dobra necessários para ferramenta</t>
  </si>
  <si>
    <t>r'</t>
  </si>
  <si>
    <t xml:space="preserve">Ângulo de dobra desejado em [°] = </t>
  </si>
  <si>
    <t>4. Força de dobra</t>
  </si>
  <si>
    <t>4.1 Dobra tipo "V"</t>
  </si>
  <si>
    <t>é o comprimento livre entre apoios da matriz</t>
  </si>
  <si>
    <t>é a tensão de flexão do material</t>
  </si>
  <si>
    <t>4.2 Dobra tipo "U"</t>
  </si>
  <si>
    <t>é a largura da tira dobrada</t>
  </si>
  <si>
    <t>4.2 Dobra tipo "L"</t>
  </si>
  <si>
    <t>Operação de dobra</t>
  </si>
  <si>
    <t>b (mm)</t>
  </si>
  <si>
    <t>l (mm)</t>
  </si>
  <si>
    <t>Fd "U"</t>
  </si>
  <si>
    <t>Fd "V"</t>
  </si>
  <si>
    <t>Fd "L"</t>
  </si>
  <si>
    <t>Fd dobra escolhida</t>
  </si>
  <si>
    <t>Com base na tabela acima, coloque as fornças de dobra para o tipo escolhido:</t>
  </si>
  <si>
    <t>Portanto a força Total para as operações de dobra será:</t>
  </si>
  <si>
    <t>onde em casos gerais:</t>
  </si>
  <si>
    <t>D (mm)</t>
  </si>
  <si>
    <t xml:space="preserve">d1 = </t>
  </si>
  <si>
    <t xml:space="preserve">H = </t>
  </si>
  <si>
    <t xml:space="preserve">r = </t>
  </si>
  <si>
    <t xml:space="preserve">d2 = </t>
  </si>
  <si>
    <t xml:space="preserve">f = </t>
  </si>
  <si>
    <t xml:space="preserve">s = </t>
  </si>
  <si>
    <t>d (mm)</t>
  </si>
  <si>
    <t>1. A partir da geometria desejada após a operação de repuxo, pode se obter valores de D a partir de d, conforme seção ao lado:</t>
  </si>
  <si>
    <t>Obtidos os valores de d e D, urge a necessidade de verificar a necessidade de realização de embutimento progressivo:</t>
  </si>
  <si>
    <t>d/D (mm)</t>
  </si>
  <si>
    <t>Para verificar a necessidade de embutimento progressivo devemos comparar o valor de d/D e comparar com os valores tabelados de K1 para os respectivos materiais:</t>
  </si>
  <si>
    <r>
      <t xml:space="preserve">Caso K1 </t>
    </r>
    <r>
      <rPr>
        <sz val="11"/>
        <color theme="1"/>
        <rFont val="Aptos Narrow"/>
        <family val="2"/>
      </rPr>
      <t>≥ d/D, faz se necessário a realização de embutimento progressivo</t>
    </r>
    <r>
      <rPr>
        <sz val="11"/>
        <color theme="1"/>
        <rFont val="Aptos Narrow"/>
        <family val="2"/>
        <scheme val="minor"/>
      </rPr>
      <t>, conforme método abaixo</t>
    </r>
  </si>
  <si>
    <r>
      <t xml:space="preserve">quando dn </t>
    </r>
    <r>
      <rPr>
        <sz val="11"/>
        <color theme="1"/>
        <rFont val="Aptos Narrow"/>
        <family val="2"/>
      </rPr>
      <t>≤ d, chegamos ao ultíma progressão</t>
    </r>
  </si>
  <si>
    <t xml:space="preserve">Portanto para K1 = </t>
  </si>
  <si>
    <t xml:space="preserve">K2 = </t>
  </si>
  <si>
    <t>d1</t>
  </si>
  <si>
    <t>d2</t>
  </si>
  <si>
    <t>d3</t>
  </si>
  <si>
    <t>d4</t>
  </si>
  <si>
    <t>d5</t>
  </si>
  <si>
    <t>d6</t>
  </si>
  <si>
    <t>d7</t>
  </si>
  <si>
    <t>d8</t>
  </si>
  <si>
    <t>Força de Repuxo Cilíndrica</t>
  </si>
  <si>
    <t>Operação de Repuxo</t>
  </si>
  <si>
    <t>Força de Repuxo 1</t>
  </si>
  <si>
    <t>Força de Repuxo 2</t>
  </si>
  <si>
    <t>Força de Repuxo 3</t>
  </si>
  <si>
    <t>Força de Repuxo 4</t>
  </si>
  <si>
    <t>Força de Repuxo 5</t>
  </si>
  <si>
    <t>Força de Repuxo 6</t>
  </si>
  <si>
    <t>Força de Repuxo 7</t>
  </si>
  <si>
    <t>Força de Repuxo 8</t>
  </si>
  <si>
    <t>tensão de escoamento=</t>
  </si>
  <si>
    <t xml:space="preserve">Força de Repuxo </t>
  </si>
  <si>
    <t>A partir das forças do repuxo podemos definir as forças do Sujeitador:</t>
  </si>
  <si>
    <t>A partir das forças de dobra podemos definir as forças do Sujeitador:</t>
  </si>
  <si>
    <t>Portanto a força Total para as operações de repuxo será:</t>
  </si>
  <si>
    <t>1. A partir do projeto de tira desenvolvido e da matriz correspondente forneça as localizações dos baricentros das operações</t>
  </si>
  <si>
    <t>Operação</t>
  </si>
  <si>
    <t>X (mm)</t>
  </si>
  <si>
    <t>Y (mm)</t>
  </si>
  <si>
    <t>Obs: Considere a Matriz como um plano cartesiano no plano xy, onde a origem se localiza no canto inferior esquerdo da matriz</t>
  </si>
  <si>
    <t>Força da operação</t>
  </si>
  <si>
    <t>A localização da esiga se dará por</t>
  </si>
  <si>
    <t>Xc (mm)</t>
  </si>
  <si>
    <t>Yc (mm)</t>
  </si>
  <si>
    <t>ATRIBUIR VALORES APENAS AOS QUADROS PINTADOS</t>
  </si>
  <si>
    <r>
      <t xml:space="preserve">Rendimento </t>
    </r>
    <r>
      <rPr>
        <sz val="11"/>
        <color theme="1"/>
        <rFont val="Aptos Narrow"/>
        <family val="2"/>
      </rPr>
      <t>η das operações de corte</t>
    </r>
    <r>
      <rPr>
        <sz val="11"/>
        <color theme="1"/>
        <rFont val="Aptos Narrow"/>
        <family val="2"/>
        <scheme val="minor"/>
      </rPr>
      <t xml:space="preserve"> (%) = </t>
    </r>
  </si>
  <si>
    <t>Área S (              )</t>
  </si>
  <si>
    <t xml:space="preserve">5. A partir da largura mínima da chapa e do rendimento global das operações de corte podemos estimar valores de aproveitamento de material da operação para diferentes valores de comprimento da chapa: 
obs: considerando chapas padronizadas 3000 x 1200 mm, a largura normal será definido como 1200mm dividido pelo número máximo de chapas nesta largura.
</t>
  </si>
  <si>
    <t xml:space="preserve">comprimento (C) </t>
  </si>
  <si>
    <t>2.1 A partir da página de apoio ao lado é necessário verificar a suscetibilidade do punção à flambagem a partir da equação abaixo</t>
  </si>
  <si>
    <t>1. Para a obtenção das forças de corte, utilizaremos a seguinte fórmula:</t>
  </si>
  <si>
    <t>1.1 Método matemático</t>
  </si>
  <si>
    <t>rmin</t>
  </si>
  <si>
    <t>k</t>
  </si>
  <si>
    <t>Norma (Aço)</t>
  </si>
  <si>
    <t>ASTM A36, EN 10025-2 S235JR</t>
  </si>
  <si>
    <t>ASTM A830 1045, EN 10083-1, C45E, C40E</t>
  </si>
  <si>
    <t>ASTM A1011 CS Type B, EN 10111 DD11</t>
  </si>
  <si>
    <t>ASTM A572, Grade 50, EN 10025-2, S355J2</t>
  </si>
  <si>
    <t>ASTM A656, Grade 50, EN 10149-2, S355MC</t>
  </si>
  <si>
    <t>ASTM A1011, HSLAS-F Grade 50, EN 10149-2, S355MC</t>
  </si>
  <si>
    <t>ASTM A1011, HSLAS-F Grade 70, EN 10149-2, S500MC</t>
  </si>
  <si>
    <t>ASTM A1008, CS Type B, EN 10130, DC01</t>
  </si>
  <si>
    <t>Preço (R$/Kg)</t>
  </si>
  <si>
    <t>1. Espessura da chapa.</t>
  </si>
  <si>
    <t>2. Material da chapa</t>
  </si>
  <si>
    <r>
      <t>Material</t>
    </r>
    <r>
      <rPr>
        <sz val="11"/>
        <color theme="1"/>
        <rFont val="Aptos Narrow"/>
        <family val="2"/>
      </rPr>
      <t xml:space="preserve"> = </t>
    </r>
  </si>
  <si>
    <t xml:space="preserve">Fc [Kg]= </t>
  </si>
  <si>
    <t>3. Força de Corte total</t>
  </si>
  <si>
    <t xml:space="preserve">Fd [Kg]= </t>
  </si>
  <si>
    <t>4. Força de Dobra total</t>
  </si>
  <si>
    <t>5. Força de Repuxo total</t>
  </si>
  <si>
    <t xml:space="preserve">Fr [Kg]= </t>
  </si>
  <si>
    <t xml:space="preserve">Fs [Kg]= </t>
  </si>
  <si>
    <t>6. Força do Sujeitador total</t>
  </si>
  <si>
    <t>7. Força de Extração</t>
  </si>
  <si>
    <t xml:space="preserve">Fe [Kg]= </t>
  </si>
  <si>
    <t>8. Força Total necessária</t>
  </si>
  <si>
    <t>Custo =</t>
  </si>
  <si>
    <t>(caso deseje outro material, inclua na aba 7 conforme formatação)</t>
  </si>
  <si>
    <t>9. Custo Material por peça</t>
  </si>
  <si>
    <t>Tensão de escoamento (kgf/mm2)</t>
  </si>
  <si>
    <t>Tensão de Cisalhamento (kgf/mm2)</t>
  </si>
  <si>
    <t>Resistência à Tração (kgf/mm2)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</si>
</sst>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</font>
    <font>
      <sz val="12"/>
      <color theme="1"/>
      <name val="Arial"/>
      <family val="2"/>
    </font>
    <font>
      <sz val="11"/>
      <color rgb="FF0000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</font>
    <font>
      <b/>
      <sz val="11"/>
      <color rgb="FF000000"/>
      <name val="Aptos Narrow"/>
      <family val="2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61">
    <xf numFmtId="0" fontId="0" fillId="0" borderId="0" xfId="0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7" xfId="0" applyBorder="1"/>
    <xf numFmtId="0" fontId="0" fillId="0" borderId="0" xfId="0" applyAlignment="1">
      <alignment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0" xfId="0" applyFill="1"/>
    <xf numFmtId="0" fontId="0" fillId="2" borderId="17" xfId="0" applyFill="1" applyBorder="1"/>
    <xf numFmtId="0" fontId="0" fillId="2" borderId="0" xfId="0" quotePrefix="1" applyFill="1"/>
    <xf numFmtId="0" fontId="0" fillId="2" borderId="0" xfId="0" applyFill="1" applyAlignment="1">
      <alignment wrapText="1"/>
    </xf>
    <xf numFmtId="49" fontId="0" fillId="2" borderId="0" xfId="0" quotePrefix="1" applyNumberFormat="1" applyFill="1"/>
    <xf numFmtId="0" fontId="0" fillId="2" borderId="0" xfId="0" applyFill="1" applyAlignment="1">
      <alignment horizontal="center" vertical="center"/>
    </xf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29" xfId="0" applyFill="1" applyBorder="1"/>
    <xf numFmtId="0" fontId="0" fillId="2" borderId="1" xfId="0" applyFill="1" applyBorder="1" applyAlignment="1">
      <alignment horizontal="center"/>
    </xf>
    <xf numFmtId="0" fontId="0" fillId="2" borderId="16" xfId="0" applyFill="1" applyBorder="1" applyAlignment="1">
      <alignment horizontal="center" vertical="center"/>
    </xf>
    <xf numFmtId="0" fontId="0" fillId="4" borderId="27" xfId="0" applyFill="1" applyBorder="1" applyAlignment="1">
      <alignment horizontal="right"/>
    </xf>
    <xf numFmtId="0" fontId="0" fillId="4" borderId="16" xfId="0" applyFill="1" applyBorder="1" applyAlignment="1">
      <alignment horizontal="center" vertical="center"/>
    </xf>
    <xf numFmtId="0" fontId="0" fillId="5" borderId="24" xfId="0" applyFill="1" applyBorder="1" applyAlignment="1">
      <alignment horizontal="right"/>
    </xf>
    <xf numFmtId="0" fontId="0" fillId="5" borderId="3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/>
    <xf numFmtId="0" fontId="0" fillId="3" borderId="2" xfId="0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29" xfId="0" applyBorder="1"/>
    <xf numFmtId="0" fontId="3" fillId="2" borderId="1" xfId="0" applyFont="1" applyFill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0" fillId="0" borderId="14" xfId="0" applyBorder="1" applyAlignment="1">
      <alignment horizontal="right" vertical="center"/>
    </xf>
    <xf numFmtId="0" fontId="0" fillId="0" borderId="16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6" xfId="0" applyFill="1" applyBorder="1"/>
    <xf numFmtId="0" fontId="0" fillId="6" borderId="2" xfId="0" applyFill="1" applyBorder="1"/>
    <xf numFmtId="0" fontId="1" fillId="2" borderId="30" xfId="0" applyFont="1" applyFill="1" applyBorder="1" applyAlignment="1">
      <alignment horizontal="right" vertical="center"/>
    </xf>
    <xf numFmtId="0" fontId="0" fillId="7" borderId="1" xfId="0" applyFill="1" applyBorder="1"/>
    <xf numFmtId="0" fontId="0" fillId="7" borderId="2" xfId="0" applyFill="1" applyBorder="1"/>
    <xf numFmtId="0" fontId="7" fillId="8" borderId="2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27" xfId="0" applyBorder="1" applyAlignment="1">
      <alignment horizontal="right" vertical="center"/>
    </xf>
    <xf numFmtId="0" fontId="0" fillId="9" borderId="35" xfId="0" applyFill="1" applyBorder="1"/>
    <xf numFmtId="0" fontId="0" fillId="9" borderId="2" xfId="0" applyFill="1" applyBorder="1"/>
    <xf numFmtId="0" fontId="0" fillId="9" borderId="16" xfId="0" applyFill="1" applyBorder="1"/>
    <xf numFmtId="0" fontId="11" fillId="0" borderId="0" xfId="0" applyFont="1"/>
    <xf numFmtId="0" fontId="0" fillId="9" borderId="1" xfId="0" applyFill="1" applyBorder="1" applyAlignment="1">
      <alignment horizontal="center" vertical="center"/>
    </xf>
    <xf numFmtId="0" fontId="0" fillId="9" borderId="6" xfId="0" applyFill="1" applyBorder="1"/>
    <xf numFmtId="0" fontId="0" fillId="9" borderId="8" xfId="0" applyFill="1" applyBorder="1"/>
    <xf numFmtId="0" fontId="0" fillId="2" borderId="2" xfId="0" applyFill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2" applyFont="1" applyAlignment="1">
      <alignment horizontal="center" vertical="center"/>
    </xf>
    <xf numFmtId="164" fontId="0" fillId="0" borderId="2" xfId="1" applyNumberFormat="1" applyFont="1" applyFill="1" applyBorder="1"/>
    <xf numFmtId="44" fontId="0" fillId="0" borderId="2" xfId="2" applyFont="1" applyFill="1" applyBorder="1"/>
    <xf numFmtId="10" fontId="9" fillId="0" borderId="2" xfId="3" applyNumberFormat="1" applyFont="1" applyBorder="1" applyAlignment="1">
      <alignment horizontal="center" vertical="center"/>
    </xf>
    <xf numFmtId="0" fontId="0" fillId="0" borderId="6" xfId="0" applyBorder="1"/>
    <xf numFmtId="0" fontId="3" fillId="2" borderId="27" xfId="0" applyFont="1" applyFill="1" applyBorder="1" applyAlignment="1">
      <alignment horizontal="right"/>
    </xf>
    <xf numFmtId="0" fontId="0" fillId="2" borderId="29" xfId="0" applyFill="1" applyBorder="1" applyAlignment="1">
      <alignment horizontal="right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27" xfId="0" applyFill="1" applyBorder="1" applyAlignment="1">
      <alignment horizontal="right"/>
    </xf>
    <xf numFmtId="0" fontId="0" fillId="2" borderId="28" xfId="0" applyFill="1" applyBorder="1" applyAlignment="1">
      <alignment horizontal="right"/>
    </xf>
    <xf numFmtId="0" fontId="0" fillId="2" borderId="3" xfId="0" applyFill="1" applyBorder="1" applyAlignment="1">
      <alignment horizontal="center" vertical="center" textRotation="90" wrapText="1"/>
    </xf>
    <xf numFmtId="0" fontId="0" fillId="2" borderId="6" xfId="0" applyFill="1" applyBorder="1" applyAlignment="1">
      <alignment horizontal="center" vertical="center" textRotation="90" wrapText="1"/>
    </xf>
    <xf numFmtId="0" fontId="0" fillId="2" borderId="8" xfId="0" applyFill="1" applyBorder="1" applyAlignment="1">
      <alignment horizontal="center" vertical="center" textRotation="90" wrapText="1"/>
    </xf>
    <xf numFmtId="0" fontId="0" fillId="2" borderId="18" xfId="0" applyFill="1" applyBorder="1" applyAlignment="1">
      <alignment horizontal="center" vertical="center" textRotation="90"/>
    </xf>
    <xf numFmtId="0" fontId="0" fillId="2" borderId="19" xfId="0" applyFill="1" applyBorder="1" applyAlignment="1">
      <alignment horizontal="center" vertical="center" textRotation="90"/>
    </xf>
    <xf numFmtId="0" fontId="0" fillId="2" borderId="0" xfId="0" applyFill="1" applyAlignment="1">
      <alignment horizontal="left" vertical="top" wrapText="1"/>
    </xf>
    <xf numFmtId="0" fontId="0" fillId="2" borderId="17" xfId="0" applyFill="1" applyBorder="1" applyAlignment="1">
      <alignment horizontal="left" vertical="top" wrapText="1"/>
    </xf>
    <xf numFmtId="0" fontId="0" fillId="2" borderId="2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0" borderId="27" xfId="0" applyBorder="1" applyAlignment="1">
      <alignment horizontal="right"/>
    </xf>
    <xf numFmtId="0" fontId="0" fillId="0" borderId="28" xfId="0" applyBorder="1" applyAlignment="1">
      <alignment horizontal="right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27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10" fontId="0" fillId="2" borderId="3" xfId="3" applyNumberFormat="1" applyFont="1" applyFill="1" applyBorder="1" applyAlignment="1">
      <alignment horizontal="center" vertical="center"/>
    </xf>
    <xf numFmtId="10" fontId="0" fillId="2" borderId="4" xfId="3" applyNumberFormat="1" applyFont="1" applyFill="1" applyBorder="1" applyAlignment="1">
      <alignment horizontal="center" vertical="center"/>
    </xf>
    <xf numFmtId="10" fontId="0" fillId="2" borderId="5" xfId="3" applyNumberFormat="1" applyFont="1" applyFill="1" applyBorder="1" applyAlignment="1">
      <alignment horizontal="center" vertical="center"/>
    </xf>
    <xf numFmtId="10" fontId="0" fillId="2" borderId="6" xfId="3" applyNumberFormat="1" applyFont="1" applyFill="1" applyBorder="1" applyAlignment="1">
      <alignment horizontal="center" vertical="center"/>
    </xf>
    <xf numFmtId="10" fontId="0" fillId="2" borderId="1" xfId="3" applyNumberFormat="1" applyFont="1" applyFill="1" applyBorder="1" applyAlignment="1">
      <alignment horizontal="center" vertical="center"/>
    </xf>
    <xf numFmtId="10" fontId="0" fillId="2" borderId="7" xfId="3" applyNumberFormat="1" applyFont="1" applyFill="1" applyBorder="1" applyAlignment="1">
      <alignment horizontal="center" vertical="center"/>
    </xf>
    <xf numFmtId="10" fontId="0" fillId="2" borderId="8" xfId="3" applyNumberFormat="1" applyFont="1" applyFill="1" applyBorder="1" applyAlignment="1">
      <alignment horizontal="center" vertical="center"/>
    </xf>
    <xf numFmtId="10" fontId="0" fillId="2" borderId="9" xfId="3" applyNumberFormat="1" applyFont="1" applyFill="1" applyBorder="1" applyAlignment="1">
      <alignment horizontal="center" vertical="center"/>
    </xf>
    <xf numFmtId="10" fontId="0" fillId="2" borderId="29" xfId="3" applyNumberFormat="1" applyFont="1" applyFill="1" applyBorder="1"/>
    <xf numFmtId="10" fontId="0" fillId="10" borderId="10" xfId="3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0" fillId="9" borderId="29" xfId="0" applyFill="1" applyBorder="1"/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5" Type="http://schemas.openxmlformats.org/officeDocument/2006/relationships/image" Target="../media/image9.pn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13" Type="http://schemas.openxmlformats.org/officeDocument/2006/relationships/image" Target="../media/image36.png"/><Relationship Id="rId3" Type="http://schemas.openxmlformats.org/officeDocument/2006/relationships/image" Target="../media/image27.png"/><Relationship Id="rId7" Type="http://schemas.openxmlformats.org/officeDocument/2006/relationships/image" Target="../media/image30.png"/><Relationship Id="rId12" Type="http://schemas.openxmlformats.org/officeDocument/2006/relationships/image" Target="../media/image35.png"/><Relationship Id="rId2" Type="http://schemas.openxmlformats.org/officeDocument/2006/relationships/image" Target="../media/image26.png"/><Relationship Id="rId16" Type="http://schemas.openxmlformats.org/officeDocument/2006/relationships/image" Target="../media/image39.png"/><Relationship Id="rId1" Type="http://schemas.openxmlformats.org/officeDocument/2006/relationships/image" Target="../media/image25.png"/><Relationship Id="rId6" Type="http://schemas.openxmlformats.org/officeDocument/2006/relationships/image" Target="../media/image20.png"/><Relationship Id="rId11" Type="http://schemas.openxmlformats.org/officeDocument/2006/relationships/image" Target="../media/image34.png"/><Relationship Id="rId5" Type="http://schemas.openxmlformats.org/officeDocument/2006/relationships/image" Target="../media/image29.png"/><Relationship Id="rId15" Type="http://schemas.openxmlformats.org/officeDocument/2006/relationships/image" Target="../media/image38.png"/><Relationship Id="rId10" Type="http://schemas.openxmlformats.org/officeDocument/2006/relationships/image" Target="../media/image33.png"/><Relationship Id="rId4" Type="http://schemas.openxmlformats.org/officeDocument/2006/relationships/image" Target="../media/image28.png"/><Relationship Id="rId9" Type="http://schemas.openxmlformats.org/officeDocument/2006/relationships/image" Target="../media/image32.png"/><Relationship Id="rId14" Type="http://schemas.openxmlformats.org/officeDocument/2006/relationships/image" Target="../media/image3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13" Type="http://schemas.openxmlformats.org/officeDocument/2006/relationships/image" Target="../media/image52.png"/><Relationship Id="rId18" Type="http://schemas.openxmlformats.org/officeDocument/2006/relationships/image" Target="../media/image57.png"/><Relationship Id="rId26" Type="http://schemas.openxmlformats.org/officeDocument/2006/relationships/image" Target="../media/image65.png"/><Relationship Id="rId3" Type="http://schemas.openxmlformats.org/officeDocument/2006/relationships/image" Target="../media/image42.png"/><Relationship Id="rId21" Type="http://schemas.openxmlformats.org/officeDocument/2006/relationships/image" Target="../media/image60.png"/><Relationship Id="rId7" Type="http://schemas.openxmlformats.org/officeDocument/2006/relationships/image" Target="../media/image46.png"/><Relationship Id="rId12" Type="http://schemas.openxmlformats.org/officeDocument/2006/relationships/image" Target="../media/image51.png"/><Relationship Id="rId17" Type="http://schemas.openxmlformats.org/officeDocument/2006/relationships/image" Target="../media/image56.png"/><Relationship Id="rId25" Type="http://schemas.openxmlformats.org/officeDocument/2006/relationships/image" Target="../media/image64.png"/><Relationship Id="rId2" Type="http://schemas.openxmlformats.org/officeDocument/2006/relationships/image" Target="../media/image41.png"/><Relationship Id="rId16" Type="http://schemas.openxmlformats.org/officeDocument/2006/relationships/image" Target="../media/image55.png"/><Relationship Id="rId20" Type="http://schemas.openxmlformats.org/officeDocument/2006/relationships/image" Target="../media/image59.pn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11" Type="http://schemas.openxmlformats.org/officeDocument/2006/relationships/image" Target="../media/image50.png"/><Relationship Id="rId24" Type="http://schemas.openxmlformats.org/officeDocument/2006/relationships/image" Target="../media/image63.png"/><Relationship Id="rId5" Type="http://schemas.openxmlformats.org/officeDocument/2006/relationships/image" Target="../media/image44.png"/><Relationship Id="rId15" Type="http://schemas.openxmlformats.org/officeDocument/2006/relationships/image" Target="../media/image54.png"/><Relationship Id="rId23" Type="http://schemas.openxmlformats.org/officeDocument/2006/relationships/image" Target="../media/image62.png"/><Relationship Id="rId10" Type="http://schemas.openxmlformats.org/officeDocument/2006/relationships/image" Target="../media/image49.png"/><Relationship Id="rId19" Type="http://schemas.openxmlformats.org/officeDocument/2006/relationships/image" Target="../media/image58.png"/><Relationship Id="rId4" Type="http://schemas.openxmlformats.org/officeDocument/2006/relationships/image" Target="../media/image43.png"/><Relationship Id="rId9" Type="http://schemas.openxmlformats.org/officeDocument/2006/relationships/image" Target="../media/image48.png"/><Relationship Id="rId14" Type="http://schemas.openxmlformats.org/officeDocument/2006/relationships/image" Target="../media/image53.png"/><Relationship Id="rId22" Type="http://schemas.openxmlformats.org/officeDocument/2006/relationships/image" Target="../media/image61.png"/><Relationship Id="rId27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</xdr:colOff>
      <xdr:row>10</xdr:row>
      <xdr:rowOff>79978</xdr:rowOff>
    </xdr:from>
    <xdr:to>
      <xdr:col>5</xdr:col>
      <xdr:colOff>891540</xdr:colOff>
      <xdr:row>18</xdr:row>
      <xdr:rowOff>7619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1AE394C-1E7D-40BC-9D2E-2DF3FCE1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40" y="2236438"/>
          <a:ext cx="3223260" cy="1390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597625</xdr:colOff>
      <xdr:row>39</xdr:row>
      <xdr:rowOff>15784</xdr:rowOff>
    </xdr:from>
    <xdr:ext cx="333105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D663B074-B9E3-4725-B6BA-DEE5CBB5207B}"/>
                </a:ext>
              </a:extLst>
            </xdr:cNvPr>
            <xdr:cNvSpPr txBox="1"/>
          </xdr:nvSpPr>
          <xdr:spPr>
            <a:xfrm>
              <a:off x="2426425" y="10798084"/>
              <a:ext cx="33310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 kern="1200">
                        <a:latin typeface="Cambria Math" panose="02040503050406030204" pitchFamily="18" charset="0"/>
                      </a:rPr>
                      <m:t>𝑚</m:t>
                    </m:r>
                    <m:sSup>
                      <m:sSupPr>
                        <m:ctrlPr>
                          <a:rPr lang="pt-BR" sz="1100" b="0" i="1" kern="1200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pt-BR" sz="1100" b="0" i="1" kern="1200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pt-BR" sz="1100" b="0" i="1" kern="120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pt-BR" sz="1100" kern="1200"/>
            </a:p>
          </xdr:txBody>
        </xdr:sp>
      </mc:Choice>
      <mc:Fallback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D663B074-B9E3-4725-B6BA-DEE5CBB5207B}"/>
                </a:ext>
              </a:extLst>
            </xdr:cNvPr>
            <xdr:cNvSpPr txBox="1"/>
          </xdr:nvSpPr>
          <xdr:spPr>
            <a:xfrm>
              <a:off x="2426425" y="10798084"/>
              <a:ext cx="333105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 kern="1200">
                  <a:latin typeface="Cambria Math" panose="02040503050406030204" pitchFamily="18" charset="0"/>
                </a:rPr>
                <a:t>𝑚𝑚^2</a:t>
              </a:r>
              <a:endParaRPr lang="pt-BR" sz="1100" kern="1200"/>
            </a:p>
          </xdr:txBody>
        </xdr:sp>
      </mc:Fallback>
    </mc:AlternateContent>
    <xdr:clientData/>
  </xdr:oneCellAnchor>
  <xdr:oneCellAnchor>
    <xdr:from>
      <xdr:col>5</xdr:col>
      <xdr:colOff>698500</xdr:colOff>
      <xdr:row>31</xdr:row>
      <xdr:rowOff>187415</xdr:rowOff>
    </xdr:from>
    <xdr:ext cx="212430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C2E4E00D-87DC-47D3-BD36-B7BC80BDEF91}"/>
                </a:ext>
              </a:extLst>
            </xdr:cNvPr>
            <xdr:cNvSpPr txBox="1"/>
          </xdr:nvSpPr>
          <xdr:spPr>
            <a:xfrm>
              <a:off x="4305300" y="9521915"/>
              <a:ext cx="21243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pt-BR" sz="1100" b="0" i="1" kern="1200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pt-BR" sz="1100" b="0" i="1" kern="1200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pt-BR" sz="1100" b="0" i="1" kern="120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pt-BR" sz="1100" kern="1200"/>
            </a:p>
          </xdr:txBody>
        </xdr:sp>
      </mc:Choice>
      <mc:Fallback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C2E4E00D-87DC-47D3-BD36-B7BC80BDEF91}"/>
                </a:ext>
              </a:extLst>
            </xdr:cNvPr>
            <xdr:cNvSpPr txBox="1"/>
          </xdr:nvSpPr>
          <xdr:spPr>
            <a:xfrm>
              <a:off x="4305300" y="9521915"/>
              <a:ext cx="21243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 kern="1200">
                  <a:latin typeface="Cambria Math" panose="02040503050406030204" pitchFamily="18" charset="0"/>
                </a:rPr>
                <a:t>𝑚^2</a:t>
              </a:r>
              <a:endParaRPr lang="pt-BR" sz="1100" kern="12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141514</xdr:colOff>
      <xdr:row>6</xdr:row>
      <xdr:rowOff>8707</xdr:rowOff>
    </xdr:from>
    <xdr:to>
      <xdr:col>6</xdr:col>
      <xdr:colOff>646067</xdr:colOff>
      <xdr:row>16</xdr:row>
      <xdr:rowOff>137613</xdr:rowOff>
    </xdr:to>
    <xdr:pic>
      <xdr:nvPicPr>
        <xdr:cNvPr id="5" name="Imagem 4" descr="Gráfico, Gráfico de bolhas&#10;&#10;Descrição gerada automaticamente">
          <a:extLst>
            <a:ext uri="{FF2B5EF4-FFF2-40B4-BE49-F238E27FC236}">
              <a16:creationId xmlns:a16="http://schemas.microsoft.com/office/drawing/2014/main" id="{AD81321B-8127-DF28-0283-00AE50C90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4" y="1434736"/>
          <a:ext cx="4488724" cy="1979477"/>
        </a:xfrm>
        <a:prstGeom prst="rect">
          <a:avLst/>
        </a:prstGeom>
      </xdr:spPr>
    </xdr:pic>
    <xdr:clientData/>
  </xdr:twoCellAnchor>
  <xdr:twoCellAnchor>
    <xdr:from>
      <xdr:col>2</xdr:col>
      <xdr:colOff>91440</xdr:colOff>
      <xdr:row>24</xdr:row>
      <xdr:rowOff>106680</xdr:rowOff>
    </xdr:from>
    <xdr:to>
      <xdr:col>3</xdr:col>
      <xdr:colOff>358140</xdr:colOff>
      <xdr:row>26</xdr:row>
      <xdr:rowOff>91440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2EFA20B-17A2-25F8-3DD0-FEB6BE31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640" y="4518660"/>
          <a:ext cx="1661160" cy="350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617220</xdr:colOff>
      <xdr:row>24</xdr:row>
      <xdr:rowOff>114300</xdr:rowOff>
    </xdr:from>
    <xdr:to>
      <xdr:col>5</xdr:col>
      <xdr:colOff>640080</xdr:colOff>
      <xdr:row>26</xdr:row>
      <xdr:rowOff>92816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DE35CE8-28C3-D5C0-F8CD-C8DBA656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4526280"/>
          <a:ext cx="1805940" cy="344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8</xdr:row>
      <xdr:rowOff>61912</xdr:rowOff>
    </xdr:from>
    <xdr:ext cx="1609287" cy="1853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475956A5-277C-7397-A19E-2C280700214D}"/>
                </a:ext>
              </a:extLst>
            </xdr:cNvPr>
            <xdr:cNvSpPr txBox="1"/>
          </xdr:nvSpPr>
          <xdr:spPr>
            <a:xfrm>
              <a:off x="8286750" y="1338262"/>
              <a:ext cx="1609287" cy="1853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𝑙</m:t>
                    </m:r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sub>
                    </m:sSub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sub>
                    </m:sSub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sub>
                    </m:sSub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h</m:t>
                    </m:r>
                    <m:r>
                      <a:rPr lang="pt-BR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</m:t>
                        </m:r>
                      </m:sub>
                    </m:sSub>
                  </m:oMath>
                </m:oMathPara>
              </a14:m>
              <a:endParaRPr lang="pt-BR" sz="1100" kern="1200"/>
            </a:p>
          </xdr:txBody>
        </xdr:sp>
      </mc:Choice>
      <mc:Fallback xmlns="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475956A5-277C-7397-A19E-2C280700214D}"/>
                </a:ext>
              </a:extLst>
            </xdr:cNvPr>
            <xdr:cNvSpPr txBox="1"/>
          </xdr:nvSpPr>
          <xdr:spPr>
            <a:xfrm>
              <a:off x="8286750" y="1338262"/>
              <a:ext cx="1609287" cy="1853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𝑙=𝐸_𝑝+𝐸_𝐸+𝐸_𝐺+ℎ+𝐶_𝑓</a:t>
              </a:r>
              <a:endParaRPr lang="pt-BR" sz="1100" kern="1200"/>
            </a:p>
          </xdr:txBody>
        </xdr:sp>
      </mc:Fallback>
    </mc:AlternateContent>
    <xdr:clientData/>
  </xdr:oneCellAnchor>
  <xdr:twoCellAnchor>
    <xdr:from>
      <xdr:col>10</xdr:col>
      <xdr:colOff>457200</xdr:colOff>
      <xdr:row>9</xdr:row>
      <xdr:rowOff>171450</xdr:rowOff>
    </xdr:from>
    <xdr:to>
      <xdr:col>11</xdr:col>
      <xdr:colOff>7620</xdr:colOff>
      <xdr:row>11</xdr:row>
      <xdr:rowOff>74295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52D6857-BC5E-9128-9669-27F33E760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1628775"/>
          <a:ext cx="16002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438150</xdr:colOff>
      <xdr:row>10</xdr:row>
      <xdr:rowOff>180975</xdr:rowOff>
    </xdr:from>
    <xdr:to>
      <xdr:col>10</xdr:col>
      <xdr:colOff>605790</xdr:colOff>
      <xdr:row>12</xdr:row>
      <xdr:rowOff>76200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86C5247-9B44-4333-95B8-A78B99AC4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1819275"/>
          <a:ext cx="16764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428625</xdr:colOff>
      <xdr:row>12</xdr:row>
      <xdr:rowOff>0</xdr:rowOff>
    </xdr:from>
    <xdr:to>
      <xdr:col>10</xdr:col>
      <xdr:colOff>596265</xdr:colOff>
      <xdr:row>13</xdr:row>
      <xdr:rowOff>64770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D322A08A-8A9F-C3D7-D309-056EEAE86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2009775"/>
          <a:ext cx="16764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466725</xdr:colOff>
      <xdr:row>13</xdr:row>
      <xdr:rowOff>9525</xdr:rowOff>
    </xdr:from>
    <xdr:to>
      <xdr:col>10</xdr:col>
      <xdr:colOff>550545</xdr:colOff>
      <xdr:row>14</xdr:row>
      <xdr:rowOff>74295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DEB35FD9-10AA-F161-24B5-33C932E68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2219325"/>
          <a:ext cx="8382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457200</xdr:colOff>
      <xdr:row>13</xdr:row>
      <xdr:rowOff>190500</xdr:rowOff>
    </xdr:from>
    <xdr:to>
      <xdr:col>10</xdr:col>
      <xdr:colOff>601980</xdr:colOff>
      <xdr:row>15</xdr:row>
      <xdr:rowOff>81915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36C2A031-07DB-1B15-A661-EC8E3A6D2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2400300"/>
          <a:ext cx="14478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257175</xdr:colOff>
      <xdr:row>18</xdr:row>
      <xdr:rowOff>61912</xdr:rowOff>
    </xdr:from>
    <xdr:ext cx="1657350" cy="1853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aixaDeTexto 13">
              <a:extLst>
                <a:ext uri="{FF2B5EF4-FFF2-40B4-BE49-F238E27FC236}">
                  <a16:creationId xmlns:a16="http://schemas.microsoft.com/office/drawing/2014/main" id="{A5B9C9FF-61FF-413B-B739-391CDFC041AE}"/>
                </a:ext>
              </a:extLst>
            </xdr:cNvPr>
            <xdr:cNvSpPr txBox="1"/>
          </xdr:nvSpPr>
          <xdr:spPr>
            <a:xfrm>
              <a:off x="8724900" y="3214687"/>
              <a:ext cx="1657350" cy="1853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pt-B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𝐸</m:t>
                      </m:r>
                    </m:e>
                    <m:sub>
                      <m:r>
                        <a:rPr lang="pt-B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𝑝</m:t>
                      </m:r>
                    </m:sub>
                  </m:sSub>
                </m:oMath>
              </a14:m>
              <a:r>
                <a:rPr lang="pt-BR" sz="1100" kern="1200"/>
                <a:t> = 0,25</a:t>
              </a:r>
              <a:r>
                <a:rPr lang="pt-BR" sz="1100" kern="1200" baseline="0"/>
                <a:t> l</a:t>
              </a:r>
              <a:endParaRPr lang="pt-BR" sz="1100" kern="1200"/>
            </a:p>
          </xdr:txBody>
        </xdr:sp>
      </mc:Choice>
      <mc:Fallback xmlns="">
        <xdr:sp macro="" textlink="">
          <xdr:nvSpPr>
            <xdr:cNvPr id="14" name="CaixaDeTexto 13">
              <a:extLst>
                <a:ext uri="{FF2B5EF4-FFF2-40B4-BE49-F238E27FC236}">
                  <a16:creationId xmlns:a16="http://schemas.microsoft.com/office/drawing/2014/main" id="{A5B9C9FF-61FF-413B-B739-391CDFC041AE}"/>
                </a:ext>
              </a:extLst>
            </xdr:cNvPr>
            <xdr:cNvSpPr txBox="1"/>
          </xdr:nvSpPr>
          <xdr:spPr>
            <a:xfrm>
              <a:off x="8724900" y="3214687"/>
              <a:ext cx="1657350" cy="1853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t-B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𝐸_𝑝</a:t>
              </a:r>
              <a:r>
                <a:rPr lang="pt-BR" sz="1100" kern="1200"/>
                <a:t> = 0,25</a:t>
              </a:r>
              <a:r>
                <a:rPr lang="pt-BR" sz="1100" kern="1200" baseline="0"/>
                <a:t> l</a:t>
              </a:r>
              <a:endParaRPr lang="pt-BR" sz="1100" kern="1200"/>
            </a:p>
          </xdr:txBody>
        </xdr:sp>
      </mc:Fallback>
    </mc:AlternateContent>
    <xdr:clientData/>
  </xdr:oneCellAnchor>
  <xdr:oneCellAnchor>
    <xdr:from>
      <xdr:col>11</xdr:col>
      <xdr:colOff>238125</xdr:colOff>
      <xdr:row>19</xdr:row>
      <xdr:rowOff>100012</xdr:rowOff>
    </xdr:from>
    <xdr:ext cx="164275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aixaDeTexto 14">
              <a:extLst>
                <a:ext uri="{FF2B5EF4-FFF2-40B4-BE49-F238E27FC236}">
                  <a16:creationId xmlns:a16="http://schemas.microsoft.com/office/drawing/2014/main" id="{2B1998C2-A7B0-4CE4-AD76-03CE799A2B87}"/>
                </a:ext>
              </a:extLst>
            </xdr:cNvPr>
            <xdr:cNvSpPr txBox="1"/>
          </xdr:nvSpPr>
          <xdr:spPr>
            <a:xfrm>
              <a:off x="8705850" y="3433762"/>
              <a:ext cx="164275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sub>
                    </m:sSub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ctrlP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0,15 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0,25 </m:t>
                        </m:r>
                      </m:e>
                    </m:d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𝐿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+2 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𝑒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</m:oMath>
                </m:oMathPara>
              </a14:m>
              <a:endParaRPr lang="pt-BR" sz="1100" kern="1200"/>
            </a:p>
          </xdr:txBody>
        </xdr:sp>
      </mc:Choice>
      <mc:Fallback xmlns="">
        <xdr:sp macro="" textlink="">
          <xdr:nvSpPr>
            <xdr:cNvPr id="15" name="CaixaDeTexto 14">
              <a:extLst>
                <a:ext uri="{FF2B5EF4-FFF2-40B4-BE49-F238E27FC236}">
                  <a16:creationId xmlns:a16="http://schemas.microsoft.com/office/drawing/2014/main" id="{2B1998C2-A7B0-4CE4-AD76-03CE799A2B87}"/>
                </a:ext>
              </a:extLst>
            </xdr:cNvPr>
            <xdr:cNvSpPr txBox="1"/>
          </xdr:nvSpPr>
          <xdr:spPr>
            <a:xfrm>
              <a:off x="8705850" y="3433762"/>
              <a:ext cx="164275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𝐸_𝐸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=(0,15 𝑎 0,25 )𝐿+2 𝑒 </a:t>
              </a:r>
              <a:endParaRPr lang="pt-BR" sz="1100" kern="1200"/>
            </a:p>
          </xdr:txBody>
        </xdr:sp>
      </mc:Fallback>
    </mc:AlternateContent>
    <xdr:clientData/>
  </xdr:oneCellAnchor>
  <xdr:oneCellAnchor>
    <xdr:from>
      <xdr:col>4</xdr:col>
      <xdr:colOff>266700</xdr:colOff>
      <xdr:row>34</xdr:row>
      <xdr:rowOff>185737</xdr:rowOff>
    </xdr:from>
    <xdr:ext cx="32669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CaixaDeTexto 16">
              <a:extLst>
                <a:ext uri="{FF2B5EF4-FFF2-40B4-BE49-F238E27FC236}">
                  <a16:creationId xmlns:a16="http://schemas.microsoft.com/office/drawing/2014/main" id="{9D134E74-2EBB-4A43-A234-DF5397A73544}"/>
                </a:ext>
              </a:extLst>
            </xdr:cNvPr>
            <xdr:cNvSpPr txBox="1"/>
          </xdr:nvSpPr>
          <xdr:spPr>
            <a:xfrm>
              <a:off x="3267075" y="6110287"/>
              <a:ext cx="32669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sub>
                    </m:sSub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pt-BR" sz="1100" kern="1200"/>
            </a:p>
          </xdr:txBody>
        </xdr:sp>
      </mc:Choice>
      <mc:Fallback xmlns="">
        <xdr:sp macro="" textlink="">
          <xdr:nvSpPr>
            <xdr:cNvPr id="17" name="CaixaDeTexto 16">
              <a:extLst>
                <a:ext uri="{FF2B5EF4-FFF2-40B4-BE49-F238E27FC236}">
                  <a16:creationId xmlns:a16="http://schemas.microsoft.com/office/drawing/2014/main" id="{9D134E74-2EBB-4A43-A234-DF5397A73544}"/>
                </a:ext>
              </a:extLst>
            </xdr:cNvPr>
            <xdr:cNvSpPr txBox="1"/>
          </xdr:nvSpPr>
          <xdr:spPr>
            <a:xfrm>
              <a:off x="3267075" y="6110287"/>
              <a:ext cx="32669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𝐸_𝐺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endParaRPr lang="pt-BR" sz="1100" kern="1200"/>
            </a:p>
          </xdr:txBody>
        </xdr:sp>
      </mc:Fallback>
    </mc:AlternateContent>
    <xdr:clientData/>
  </xdr:oneCellAnchor>
  <xdr:oneCellAnchor>
    <xdr:from>
      <xdr:col>11</xdr:col>
      <xdr:colOff>219075</xdr:colOff>
      <xdr:row>26</xdr:row>
      <xdr:rowOff>119062</xdr:rowOff>
    </xdr:from>
    <xdr:ext cx="96892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CaixaDeTexto 18">
              <a:extLst>
                <a:ext uri="{FF2B5EF4-FFF2-40B4-BE49-F238E27FC236}">
                  <a16:creationId xmlns:a16="http://schemas.microsoft.com/office/drawing/2014/main" id="{D8A301D9-00B9-4764-8C45-ACBF861669C6}"/>
                </a:ext>
              </a:extLst>
            </xdr:cNvPr>
            <xdr:cNvSpPr txBox="1"/>
          </xdr:nvSpPr>
          <xdr:spPr>
            <a:xfrm>
              <a:off x="8686800" y="4748212"/>
              <a:ext cx="96892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h</a:t>
              </a:r>
              <a:r>
                <a:rPr lang="pt-BR" sz="1100" b="0" baseline="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pt-BR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=15 </m:t>
                  </m:r>
                  <m:r>
                    <a:rPr lang="pt-BR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𝑎</m:t>
                  </m:r>
                  <m:r>
                    <a:rPr lang="pt-BR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20 </m:t>
                  </m:r>
                  <m:r>
                    <a:rPr lang="pt-BR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𝑚𝑚</m:t>
                  </m:r>
                </m:oMath>
              </a14:m>
              <a:endParaRPr lang="pt-BR" sz="1100" kern="1200"/>
            </a:p>
          </xdr:txBody>
        </xdr:sp>
      </mc:Choice>
      <mc:Fallback xmlns="">
        <xdr:sp macro="" textlink="">
          <xdr:nvSpPr>
            <xdr:cNvPr id="19" name="CaixaDeTexto 18">
              <a:extLst>
                <a:ext uri="{FF2B5EF4-FFF2-40B4-BE49-F238E27FC236}">
                  <a16:creationId xmlns:a16="http://schemas.microsoft.com/office/drawing/2014/main" id="{D8A301D9-00B9-4764-8C45-ACBF861669C6}"/>
                </a:ext>
              </a:extLst>
            </xdr:cNvPr>
            <xdr:cNvSpPr txBox="1"/>
          </xdr:nvSpPr>
          <xdr:spPr>
            <a:xfrm>
              <a:off x="8686800" y="4748212"/>
              <a:ext cx="96892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h</a:t>
              </a:r>
              <a:r>
                <a:rPr lang="pt-BR" sz="1100" b="0" baseline="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 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=15 𝑎 20 𝑚𝑚</a:t>
              </a:r>
              <a:endParaRPr lang="pt-BR" sz="1100" kern="1200"/>
            </a:p>
          </xdr:txBody>
        </xdr:sp>
      </mc:Fallback>
    </mc:AlternateContent>
    <xdr:clientData/>
  </xdr:oneCellAnchor>
  <xdr:oneCellAnchor>
    <xdr:from>
      <xdr:col>11</xdr:col>
      <xdr:colOff>123825</xdr:colOff>
      <xdr:row>27</xdr:row>
      <xdr:rowOff>109537</xdr:rowOff>
    </xdr:from>
    <xdr:ext cx="1065163" cy="1853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CaixaDeTexto 19">
              <a:extLst>
                <a:ext uri="{FF2B5EF4-FFF2-40B4-BE49-F238E27FC236}">
                  <a16:creationId xmlns:a16="http://schemas.microsoft.com/office/drawing/2014/main" id="{72EAFB79-A025-40CE-8C09-CE6B61BBF87E}"/>
                </a:ext>
              </a:extLst>
            </xdr:cNvPr>
            <xdr:cNvSpPr txBox="1"/>
          </xdr:nvSpPr>
          <xdr:spPr>
            <a:xfrm>
              <a:off x="8591550" y="4919662"/>
              <a:ext cx="1065163" cy="1853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pt-B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𝐶</m:t>
                      </m:r>
                    </m:e>
                    <m:sub>
                      <m:r>
                        <a:rPr lang="pt-B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𝑓</m:t>
                      </m:r>
                    </m:sub>
                  </m:sSub>
                </m:oMath>
              </a14:m>
              <a:r>
                <a:rPr lang="pt-BR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</a:t>
              </a:r>
              <a14:m>
                <m:oMath xmlns:m="http://schemas.openxmlformats.org/officeDocument/2006/math">
                  <m:r>
                    <a:rPr lang="pt-BR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=15 </m:t>
                  </m:r>
                  <m:r>
                    <a:rPr lang="pt-BR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𝑎</m:t>
                  </m:r>
                  <m:r>
                    <a:rPr lang="pt-BR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20 </m:t>
                  </m:r>
                  <m:r>
                    <a:rPr lang="pt-BR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𝑚𝑚</m:t>
                  </m:r>
                </m:oMath>
              </a14:m>
              <a:endParaRPr lang="pt-BR" sz="1100" kern="1200"/>
            </a:p>
          </xdr:txBody>
        </xdr:sp>
      </mc:Choice>
      <mc:Fallback xmlns="">
        <xdr:sp macro="" textlink="">
          <xdr:nvSpPr>
            <xdr:cNvPr id="20" name="CaixaDeTexto 19">
              <a:extLst>
                <a:ext uri="{FF2B5EF4-FFF2-40B4-BE49-F238E27FC236}">
                  <a16:creationId xmlns:a16="http://schemas.microsoft.com/office/drawing/2014/main" id="{72EAFB79-A025-40CE-8C09-CE6B61BBF87E}"/>
                </a:ext>
              </a:extLst>
            </xdr:cNvPr>
            <xdr:cNvSpPr txBox="1"/>
          </xdr:nvSpPr>
          <xdr:spPr>
            <a:xfrm>
              <a:off x="8591550" y="4919662"/>
              <a:ext cx="1065163" cy="1853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𝐶_𝑓</a:t>
              </a:r>
              <a:r>
                <a:rPr lang="pt-BR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=15 𝑎 20 𝑚𝑚</a:t>
              </a:r>
              <a:endParaRPr lang="pt-BR" sz="1100" kern="1200"/>
            </a:p>
          </xdr:txBody>
        </xdr:sp>
      </mc:Fallback>
    </mc:AlternateContent>
    <xdr:clientData/>
  </xdr:oneCellAnchor>
  <xdr:oneCellAnchor>
    <xdr:from>
      <xdr:col>4</xdr:col>
      <xdr:colOff>333375</xdr:colOff>
      <xdr:row>33</xdr:row>
      <xdr:rowOff>4762</xdr:rowOff>
    </xdr:from>
    <xdr:ext cx="266700" cy="185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CaixaDeTexto 20">
              <a:extLst>
                <a:ext uri="{FF2B5EF4-FFF2-40B4-BE49-F238E27FC236}">
                  <a16:creationId xmlns:a16="http://schemas.microsoft.com/office/drawing/2014/main" id="{05A732D6-D0E0-4280-84FE-F0C7076810B5}"/>
                </a:ext>
              </a:extLst>
            </xdr:cNvPr>
            <xdr:cNvSpPr txBox="1"/>
          </xdr:nvSpPr>
          <xdr:spPr>
            <a:xfrm>
              <a:off x="3333750" y="5748337"/>
              <a:ext cx="266700" cy="185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pt-B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𝐸</m:t>
                      </m:r>
                    </m:e>
                    <m:sub>
                      <m:r>
                        <a:rPr lang="pt-B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𝑝</m:t>
                      </m:r>
                    </m:sub>
                  </m:sSub>
                </m:oMath>
              </a14:m>
              <a:r>
                <a:rPr lang="pt-BR" sz="1100" kern="1200"/>
                <a:t> =</a:t>
              </a:r>
            </a:p>
          </xdr:txBody>
        </xdr:sp>
      </mc:Choice>
      <mc:Fallback xmlns="">
        <xdr:sp macro="" textlink="">
          <xdr:nvSpPr>
            <xdr:cNvPr id="21" name="CaixaDeTexto 20">
              <a:extLst>
                <a:ext uri="{FF2B5EF4-FFF2-40B4-BE49-F238E27FC236}">
                  <a16:creationId xmlns:a16="http://schemas.microsoft.com/office/drawing/2014/main" id="{05A732D6-D0E0-4280-84FE-F0C7076810B5}"/>
                </a:ext>
              </a:extLst>
            </xdr:cNvPr>
            <xdr:cNvSpPr txBox="1"/>
          </xdr:nvSpPr>
          <xdr:spPr>
            <a:xfrm>
              <a:off x="3333750" y="5748337"/>
              <a:ext cx="266700" cy="185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t-B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𝐸_𝑝</a:t>
              </a:r>
              <a:r>
                <a:rPr lang="pt-BR" sz="1100" kern="1200"/>
                <a:t> =</a:t>
              </a:r>
            </a:p>
          </xdr:txBody>
        </xdr:sp>
      </mc:Fallback>
    </mc:AlternateContent>
    <xdr:clientData/>
  </xdr:oneCellAnchor>
  <xdr:oneCellAnchor>
    <xdr:from>
      <xdr:col>4</xdr:col>
      <xdr:colOff>276225</xdr:colOff>
      <xdr:row>34</xdr:row>
      <xdr:rowOff>4762</xdr:rowOff>
    </xdr:from>
    <xdr:ext cx="325666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CaixaDeTexto 21">
              <a:extLst>
                <a:ext uri="{FF2B5EF4-FFF2-40B4-BE49-F238E27FC236}">
                  <a16:creationId xmlns:a16="http://schemas.microsoft.com/office/drawing/2014/main" id="{AF26298C-8D6A-4E19-AD17-03490BF85831}"/>
                </a:ext>
              </a:extLst>
            </xdr:cNvPr>
            <xdr:cNvSpPr txBox="1"/>
          </xdr:nvSpPr>
          <xdr:spPr>
            <a:xfrm>
              <a:off x="3276600" y="5929312"/>
              <a:ext cx="325666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sub>
                    </m:sSub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pt-BR" sz="1100" kern="1200"/>
            </a:p>
          </xdr:txBody>
        </xdr:sp>
      </mc:Choice>
      <mc:Fallback xmlns="">
        <xdr:sp macro="" textlink="">
          <xdr:nvSpPr>
            <xdr:cNvPr id="22" name="CaixaDeTexto 21">
              <a:extLst>
                <a:ext uri="{FF2B5EF4-FFF2-40B4-BE49-F238E27FC236}">
                  <a16:creationId xmlns:a16="http://schemas.microsoft.com/office/drawing/2014/main" id="{AF26298C-8D6A-4E19-AD17-03490BF85831}"/>
                </a:ext>
              </a:extLst>
            </xdr:cNvPr>
            <xdr:cNvSpPr txBox="1"/>
          </xdr:nvSpPr>
          <xdr:spPr>
            <a:xfrm>
              <a:off x="3276600" y="5929312"/>
              <a:ext cx="325666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𝐸_𝐸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endParaRPr lang="pt-BR" sz="1100" kern="1200"/>
            </a:p>
          </xdr:txBody>
        </xdr:sp>
      </mc:Fallback>
    </mc:AlternateContent>
    <xdr:clientData/>
  </xdr:oneCellAnchor>
  <xdr:oneCellAnchor>
    <xdr:from>
      <xdr:col>11</xdr:col>
      <xdr:colOff>238125</xdr:colOff>
      <xdr:row>21</xdr:row>
      <xdr:rowOff>4762</xdr:rowOff>
    </xdr:from>
    <xdr:ext cx="182101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CaixaDeTexto 24">
              <a:extLst>
                <a:ext uri="{FF2B5EF4-FFF2-40B4-BE49-F238E27FC236}">
                  <a16:creationId xmlns:a16="http://schemas.microsoft.com/office/drawing/2014/main" id="{09FD5F2A-828F-4132-896D-6761FAD068CF}"/>
                </a:ext>
              </a:extLst>
            </xdr:cNvPr>
            <xdr:cNvSpPr txBox="1"/>
          </xdr:nvSpPr>
          <xdr:spPr>
            <a:xfrm>
              <a:off x="8705850" y="3709987"/>
              <a:ext cx="182101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sub>
                    </m:sSub>
                  </m:oMath>
                </m:oMathPara>
              </a14:m>
              <a:endParaRPr lang="pt-BR" sz="1100" kern="1200"/>
            </a:p>
          </xdr:txBody>
        </xdr:sp>
      </mc:Choice>
      <mc:Fallback xmlns="">
        <xdr:sp macro="" textlink="">
          <xdr:nvSpPr>
            <xdr:cNvPr id="25" name="CaixaDeTexto 24">
              <a:extLst>
                <a:ext uri="{FF2B5EF4-FFF2-40B4-BE49-F238E27FC236}">
                  <a16:creationId xmlns:a16="http://schemas.microsoft.com/office/drawing/2014/main" id="{09FD5F2A-828F-4132-896D-6761FAD068CF}"/>
                </a:ext>
              </a:extLst>
            </xdr:cNvPr>
            <xdr:cNvSpPr txBox="1"/>
          </xdr:nvSpPr>
          <xdr:spPr>
            <a:xfrm>
              <a:off x="8705850" y="3709987"/>
              <a:ext cx="182101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𝐸_𝐺</a:t>
              </a:r>
              <a:endParaRPr lang="pt-BR" sz="1100" kern="1200"/>
            </a:p>
          </xdr:txBody>
        </xdr:sp>
      </mc:Fallback>
    </mc:AlternateContent>
    <xdr:clientData/>
  </xdr:oneCellAnchor>
  <xdr:oneCellAnchor>
    <xdr:from>
      <xdr:col>4</xdr:col>
      <xdr:colOff>314325</xdr:colOff>
      <xdr:row>36</xdr:row>
      <xdr:rowOff>185737</xdr:rowOff>
    </xdr:from>
    <xdr:ext cx="291939" cy="1853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CaixaDeTexto 25">
              <a:extLst>
                <a:ext uri="{FF2B5EF4-FFF2-40B4-BE49-F238E27FC236}">
                  <a16:creationId xmlns:a16="http://schemas.microsoft.com/office/drawing/2014/main" id="{2B20DC51-AB2E-4262-B85D-BE51A0ECC2B8}"/>
                </a:ext>
              </a:extLst>
            </xdr:cNvPr>
            <xdr:cNvSpPr txBox="1"/>
          </xdr:nvSpPr>
          <xdr:spPr>
            <a:xfrm>
              <a:off x="3314700" y="6500812"/>
              <a:ext cx="291939" cy="1853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pt-B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𝐶</m:t>
                      </m:r>
                    </m:e>
                    <m:sub>
                      <m:r>
                        <a:rPr lang="pt-B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𝑓</m:t>
                      </m:r>
                    </m:sub>
                  </m:sSub>
                </m:oMath>
              </a14:m>
              <a:r>
                <a:rPr lang="pt-BR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 </a:t>
              </a:r>
              <a:endParaRPr lang="pt-BR" sz="1100" kern="1200"/>
            </a:p>
          </xdr:txBody>
        </xdr:sp>
      </mc:Choice>
      <mc:Fallback xmlns="">
        <xdr:sp macro="" textlink="">
          <xdr:nvSpPr>
            <xdr:cNvPr id="26" name="CaixaDeTexto 25">
              <a:extLst>
                <a:ext uri="{FF2B5EF4-FFF2-40B4-BE49-F238E27FC236}">
                  <a16:creationId xmlns:a16="http://schemas.microsoft.com/office/drawing/2014/main" id="{2B20DC51-AB2E-4262-B85D-BE51A0ECC2B8}"/>
                </a:ext>
              </a:extLst>
            </xdr:cNvPr>
            <xdr:cNvSpPr txBox="1"/>
          </xdr:nvSpPr>
          <xdr:spPr>
            <a:xfrm>
              <a:off x="3314700" y="6500812"/>
              <a:ext cx="291939" cy="1853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𝐶_𝑓</a:t>
              </a:r>
              <a:r>
                <a:rPr lang="pt-BR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 </a:t>
              </a:r>
              <a:endParaRPr lang="pt-BR" sz="1100" kern="1200"/>
            </a:p>
          </xdr:txBody>
        </xdr:sp>
      </mc:Fallback>
    </mc:AlternateContent>
    <xdr:clientData/>
  </xdr:oneCellAnchor>
  <xdr:twoCellAnchor editAs="oneCell">
    <xdr:from>
      <xdr:col>3</xdr:col>
      <xdr:colOff>971550</xdr:colOff>
      <xdr:row>9</xdr:row>
      <xdr:rowOff>189301</xdr:rowOff>
    </xdr:from>
    <xdr:to>
      <xdr:col>8</xdr:col>
      <xdr:colOff>202660</xdr:colOff>
      <xdr:row>27</xdr:row>
      <xdr:rowOff>79114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A515314C-9C68-58DE-83D2-4754F91AA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95486" y="2215897"/>
          <a:ext cx="3762578" cy="3375557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45</xdr:row>
      <xdr:rowOff>85725</xdr:rowOff>
    </xdr:from>
    <xdr:to>
      <xdr:col>5</xdr:col>
      <xdr:colOff>297180</xdr:colOff>
      <xdr:row>47</xdr:row>
      <xdr:rowOff>154305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87BF0768-F112-4DC0-B348-8676C0E8E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8239125"/>
          <a:ext cx="830580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133350</xdr:colOff>
      <xdr:row>62</xdr:row>
      <xdr:rowOff>28575</xdr:rowOff>
    </xdr:from>
    <xdr:to>
      <xdr:col>5</xdr:col>
      <xdr:colOff>910590</xdr:colOff>
      <xdr:row>65</xdr:row>
      <xdr:rowOff>112395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BB58DF5E-D8BD-F0D6-4155-D9D71CDFC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11277600"/>
          <a:ext cx="1386840" cy="626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466724</xdr:colOff>
      <xdr:row>71</xdr:row>
      <xdr:rowOff>123825</xdr:rowOff>
    </xdr:from>
    <xdr:to>
      <xdr:col>8</xdr:col>
      <xdr:colOff>812090</xdr:colOff>
      <xdr:row>74</xdr:row>
      <xdr:rowOff>76200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88F87E14-EEEF-C446-6D5C-9B69E2F61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399" y="12839700"/>
          <a:ext cx="1307391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247650</xdr:colOff>
      <xdr:row>70</xdr:row>
      <xdr:rowOff>4762</xdr:rowOff>
    </xdr:from>
    <xdr:ext cx="13631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CaixaDeTexto 35">
              <a:extLst>
                <a:ext uri="{FF2B5EF4-FFF2-40B4-BE49-F238E27FC236}">
                  <a16:creationId xmlns:a16="http://schemas.microsoft.com/office/drawing/2014/main" id="{3915DA41-DFC7-9FC5-38A3-C066A4661F40}"/>
                </a:ext>
              </a:extLst>
            </xdr:cNvPr>
            <xdr:cNvSpPr txBox="1"/>
          </xdr:nvSpPr>
          <xdr:spPr>
            <a:xfrm>
              <a:off x="3248025" y="12539662"/>
              <a:ext cx="13631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 kern="1200">
                            <a:latin typeface="Cambria Math" panose="02040503050406030204" pitchFamily="18" charset="0"/>
                          </a:rPr>
                          <m:t>𝑙</m:t>
                        </m:r>
                      </m:e>
                      <m:sub>
                        <m:r>
                          <a:rPr lang="pt-BR" sz="1100" b="0" i="1" kern="1200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</m:oMath>
                </m:oMathPara>
              </a14:m>
              <a:endParaRPr lang="pt-BR" sz="1100" kern="1200"/>
            </a:p>
          </xdr:txBody>
        </xdr:sp>
      </mc:Choice>
      <mc:Fallback xmlns="">
        <xdr:sp macro="" textlink="">
          <xdr:nvSpPr>
            <xdr:cNvPr id="36" name="CaixaDeTexto 35">
              <a:extLst>
                <a:ext uri="{FF2B5EF4-FFF2-40B4-BE49-F238E27FC236}">
                  <a16:creationId xmlns:a16="http://schemas.microsoft.com/office/drawing/2014/main" id="{3915DA41-DFC7-9FC5-38A3-C066A4661F40}"/>
                </a:ext>
              </a:extLst>
            </xdr:cNvPr>
            <xdr:cNvSpPr txBox="1"/>
          </xdr:nvSpPr>
          <xdr:spPr>
            <a:xfrm>
              <a:off x="3248025" y="12539662"/>
              <a:ext cx="13631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 kern="1200">
                  <a:latin typeface="Cambria Math" panose="02040503050406030204" pitchFamily="18" charset="0"/>
                </a:rPr>
                <a:t>𝑙_0</a:t>
              </a:r>
              <a:endParaRPr lang="pt-BR" sz="1100" kern="1200"/>
            </a:p>
          </xdr:txBody>
        </xdr:sp>
      </mc:Fallback>
    </mc:AlternateContent>
    <xdr:clientData/>
  </xdr:oneCellAnchor>
  <xdr:oneCellAnchor>
    <xdr:from>
      <xdr:col>4</xdr:col>
      <xdr:colOff>476250</xdr:colOff>
      <xdr:row>72</xdr:row>
      <xdr:rowOff>14287</xdr:rowOff>
    </xdr:from>
    <xdr:ext cx="13631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CaixaDeTexto 37">
              <a:extLst>
                <a:ext uri="{FF2B5EF4-FFF2-40B4-BE49-F238E27FC236}">
                  <a16:creationId xmlns:a16="http://schemas.microsoft.com/office/drawing/2014/main" id="{7FF98EE4-1F35-4EC7-99A0-BFBB20EC2714}"/>
                </a:ext>
              </a:extLst>
            </xdr:cNvPr>
            <xdr:cNvSpPr txBox="1"/>
          </xdr:nvSpPr>
          <xdr:spPr>
            <a:xfrm>
              <a:off x="3476625" y="12911137"/>
              <a:ext cx="13631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 kern="1200">
                            <a:latin typeface="Cambria Math" panose="02040503050406030204" pitchFamily="18" charset="0"/>
                          </a:rPr>
                          <m:t>𝑙</m:t>
                        </m:r>
                      </m:e>
                      <m:sub>
                        <m:r>
                          <a:rPr lang="pt-BR" sz="1100" b="0" i="1" kern="1200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</m:oMath>
                </m:oMathPara>
              </a14:m>
              <a:endParaRPr lang="pt-BR" sz="1100" kern="1200"/>
            </a:p>
          </xdr:txBody>
        </xdr:sp>
      </mc:Choice>
      <mc:Fallback xmlns="">
        <xdr:sp macro="" textlink="">
          <xdr:nvSpPr>
            <xdr:cNvPr id="38" name="CaixaDeTexto 37">
              <a:extLst>
                <a:ext uri="{FF2B5EF4-FFF2-40B4-BE49-F238E27FC236}">
                  <a16:creationId xmlns:a16="http://schemas.microsoft.com/office/drawing/2014/main" id="{7FF98EE4-1F35-4EC7-99A0-BFBB20EC2714}"/>
                </a:ext>
              </a:extLst>
            </xdr:cNvPr>
            <xdr:cNvSpPr txBox="1"/>
          </xdr:nvSpPr>
          <xdr:spPr>
            <a:xfrm>
              <a:off x="3476625" y="12911137"/>
              <a:ext cx="13631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 kern="1200">
                  <a:latin typeface="Cambria Math" panose="02040503050406030204" pitchFamily="18" charset="0"/>
                </a:rPr>
                <a:t>𝑙_0</a:t>
              </a:r>
              <a:endParaRPr lang="pt-BR" sz="1100" kern="1200"/>
            </a:p>
          </xdr:txBody>
        </xdr:sp>
      </mc:Fallback>
    </mc:AlternateContent>
    <xdr:clientData/>
  </xdr:oneCellAnchor>
  <xdr:oneCellAnchor>
    <xdr:from>
      <xdr:col>4</xdr:col>
      <xdr:colOff>247650</xdr:colOff>
      <xdr:row>76</xdr:row>
      <xdr:rowOff>4762</xdr:rowOff>
    </xdr:from>
    <xdr:ext cx="13631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CaixaDeTexto 38">
              <a:extLst>
                <a:ext uri="{FF2B5EF4-FFF2-40B4-BE49-F238E27FC236}">
                  <a16:creationId xmlns:a16="http://schemas.microsoft.com/office/drawing/2014/main" id="{FDB381CD-83A8-415C-8C8C-2E0C3590E3E0}"/>
                </a:ext>
              </a:extLst>
            </xdr:cNvPr>
            <xdr:cNvSpPr txBox="1"/>
          </xdr:nvSpPr>
          <xdr:spPr>
            <a:xfrm>
              <a:off x="3248025" y="12539662"/>
              <a:ext cx="13631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 kern="1200">
                            <a:latin typeface="Cambria Math" panose="02040503050406030204" pitchFamily="18" charset="0"/>
                          </a:rPr>
                          <m:t>𝑙</m:t>
                        </m:r>
                      </m:e>
                      <m:sub>
                        <m:r>
                          <a:rPr lang="pt-BR" sz="1100" b="0" i="1" kern="1200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</m:oMath>
                </m:oMathPara>
              </a14:m>
              <a:endParaRPr lang="pt-BR" sz="1100" kern="1200"/>
            </a:p>
          </xdr:txBody>
        </xdr:sp>
      </mc:Choice>
      <mc:Fallback xmlns="">
        <xdr:sp macro="" textlink="">
          <xdr:nvSpPr>
            <xdr:cNvPr id="39" name="CaixaDeTexto 38">
              <a:extLst>
                <a:ext uri="{FF2B5EF4-FFF2-40B4-BE49-F238E27FC236}">
                  <a16:creationId xmlns:a16="http://schemas.microsoft.com/office/drawing/2014/main" id="{FDB381CD-83A8-415C-8C8C-2E0C3590E3E0}"/>
                </a:ext>
              </a:extLst>
            </xdr:cNvPr>
            <xdr:cNvSpPr txBox="1"/>
          </xdr:nvSpPr>
          <xdr:spPr>
            <a:xfrm>
              <a:off x="3248025" y="12539662"/>
              <a:ext cx="13631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 kern="1200">
                  <a:latin typeface="Cambria Math" panose="02040503050406030204" pitchFamily="18" charset="0"/>
                </a:rPr>
                <a:t>𝑙_0</a:t>
              </a:r>
              <a:endParaRPr lang="pt-BR" sz="1100" kern="1200"/>
            </a:p>
          </xdr:txBody>
        </xdr:sp>
      </mc:Fallback>
    </mc:AlternateContent>
    <xdr:clientData/>
  </xdr:oneCellAnchor>
  <xdr:oneCellAnchor>
    <xdr:from>
      <xdr:col>4</xdr:col>
      <xdr:colOff>190500</xdr:colOff>
      <xdr:row>75</xdr:row>
      <xdr:rowOff>0</xdr:rowOff>
    </xdr:from>
    <xdr:ext cx="307392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CaixaDeTexto 39">
              <a:extLst>
                <a:ext uri="{FF2B5EF4-FFF2-40B4-BE49-F238E27FC236}">
                  <a16:creationId xmlns:a16="http://schemas.microsoft.com/office/drawing/2014/main" id="{711B6386-A827-4D63-8A54-0D4D2E1479E1}"/>
                </a:ext>
              </a:extLst>
            </xdr:cNvPr>
            <xdr:cNvSpPr txBox="1"/>
          </xdr:nvSpPr>
          <xdr:spPr>
            <a:xfrm>
              <a:off x="3189862" y="14623915"/>
              <a:ext cx="307392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 kern="1200">
                            <a:latin typeface="Cambria Math" panose="02040503050406030204" pitchFamily="18" charset="0"/>
                          </a:rPr>
                          <m:t>𝑝</m:t>
                        </m:r>
                      </m:e>
                      <m:sub>
                        <m:r>
                          <a:rPr lang="pt-BR" sz="1100" b="0" i="1" kern="1200">
                            <a:latin typeface="Cambria Math" panose="02040503050406030204" pitchFamily="18" charset="0"/>
                          </a:rPr>
                          <m:t>𝑚𝑖𝑛</m:t>
                        </m:r>
                      </m:sub>
                    </m:sSub>
                  </m:oMath>
                </m:oMathPara>
              </a14:m>
              <a:endParaRPr lang="pt-BR" sz="1100" kern="1200"/>
            </a:p>
          </xdr:txBody>
        </xdr:sp>
      </mc:Choice>
      <mc:Fallback xmlns="">
        <xdr:sp macro="" textlink="">
          <xdr:nvSpPr>
            <xdr:cNvPr id="40" name="CaixaDeTexto 39">
              <a:extLst>
                <a:ext uri="{FF2B5EF4-FFF2-40B4-BE49-F238E27FC236}">
                  <a16:creationId xmlns:a16="http://schemas.microsoft.com/office/drawing/2014/main" id="{711B6386-A827-4D63-8A54-0D4D2E1479E1}"/>
                </a:ext>
              </a:extLst>
            </xdr:cNvPr>
            <xdr:cNvSpPr txBox="1"/>
          </xdr:nvSpPr>
          <xdr:spPr>
            <a:xfrm>
              <a:off x="3189862" y="14623915"/>
              <a:ext cx="307392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 kern="1200">
                  <a:latin typeface="Cambria Math" panose="02040503050406030204" pitchFamily="18" charset="0"/>
                </a:rPr>
                <a:t>𝑝_𝑚𝑖𝑛</a:t>
              </a:r>
              <a:endParaRPr lang="pt-BR" sz="1100" kern="1200"/>
            </a:p>
          </xdr:txBody>
        </xdr:sp>
      </mc:Fallback>
    </mc:AlternateContent>
    <xdr:clientData/>
  </xdr:oneCellAnchor>
  <xdr:oneCellAnchor>
    <xdr:from>
      <xdr:col>4</xdr:col>
      <xdr:colOff>190500</xdr:colOff>
      <xdr:row>68</xdr:row>
      <xdr:rowOff>166687</xdr:rowOff>
    </xdr:from>
    <xdr:ext cx="278794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CaixaDeTexto 42">
              <a:extLst>
                <a:ext uri="{FF2B5EF4-FFF2-40B4-BE49-F238E27FC236}">
                  <a16:creationId xmlns:a16="http://schemas.microsoft.com/office/drawing/2014/main" id="{455126AF-DBFC-48A3-8B04-16C8BE79E983}"/>
                </a:ext>
              </a:extLst>
            </xdr:cNvPr>
            <xdr:cNvSpPr txBox="1"/>
          </xdr:nvSpPr>
          <xdr:spPr>
            <a:xfrm>
              <a:off x="3190875" y="12339637"/>
              <a:ext cx="278794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 kern="1200">
                            <a:latin typeface="Cambria Math" panose="02040503050406030204" pitchFamily="18" charset="0"/>
                          </a:rPr>
                          <m:t>𝐽</m:t>
                        </m:r>
                      </m:e>
                      <m:sub>
                        <m:r>
                          <a:rPr lang="pt-BR" sz="1100" b="0" i="1" kern="1200">
                            <a:latin typeface="Cambria Math" panose="02040503050406030204" pitchFamily="18" charset="0"/>
                          </a:rPr>
                          <m:t>𝑚𝑖𝑛</m:t>
                        </m:r>
                      </m:sub>
                    </m:sSub>
                  </m:oMath>
                </m:oMathPara>
              </a14:m>
              <a:endParaRPr lang="pt-BR" sz="1100" kern="1200"/>
            </a:p>
          </xdr:txBody>
        </xdr:sp>
      </mc:Choice>
      <mc:Fallback xmlns="">
        <xdr:sp macro="" textlink="">
          <xdr:nvSpPr>
            <xdr:cNvPr id="43" name="CaixaDeTexto 42">
              <a:extLst>
                <a:ext uri="{FF2B5EF4-FFF2-40B4-BE49-F238E27FC236}">
                  <a16:creationId xmlns:a16="http://schemas.microsoft.com/office/drawing/2014/main" id="{455126AF-DBFC-48A3-8B04-16C8BE79E983}"/>
                </a:ext>
              </a:extLst>
            </xdr:cNvPr>
            <xdr:cNvSpPr txBox="1"/>
          </xdr:nvSpPr>
          <xdr:spPr>
            <a:xfrm>
              <a:off x="3190875" y="12339637"/>
              <a:ext cx="278794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 kern="1200">
                  <a:latin typeface="Cambria Math" panose="02040503050406030204" pitchFamily="18" charset="0"/>
                </a:rPr>
                <a:t>𝐽_𝑚𝑖𝑛</a:t>
              </a:r>
              <a:endParaRPr lang="pt-BR" sz="1100" kern="1200"/>
            </a:p>
          </xdr:txBody>
        </xdr:sp>
      </mc:Fallback>
    </mc:AlternateContent>
    <xdr:clientData/>
  </xdr:oneCellAnchor>
  <xdr:twoCellAnchor>
    <xdr:from>
      <xdr:col>4</xdr:col>
      <xdr:colOff>76200</xdr:colOff>
      <xdr:row>81</xdr:row>
      <xdr:rowOff>114300</xdr:rowOff>
    </xdr:from>
    <xdr:to>
      <xdr:col>6</xdr:col>
      <xdr:colOff>845820</xdr:colOff>
      <xdr:row>84</xdr:row>
      <xdr:rowOff>9525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CA3FD911-DE87-DAFD-AB7C-8C2CF385A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14820900"/>
          <a:ext cx="229362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800100</xdr:colOff>
      <xdr:row>82</xdr:row>
      <xdr:rowOff>14287</xdr:rowOff>
    </xdr:from>
    <xdr:ext cx="13631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CaixaDeTexto 44">
              <a:extLst>
                <a:ext uri="{FF2B5EF4-FFF2-40B4-BE49-F238E27FC236}">
                  <a16:creationId xmlns:a16="http://schemas.microsoft.com/office/drawing/2014/main" id="{0F5F5901-9A5F-4D1C-8B66-ED8E77176DA7}"/>
                </a:ext>
              </a:extLst>
            </xdr:cNvPr>
            <xdr:cNvSpPr txBox="1"/>
          </xdr:nvSpPr>
          <xdr:spPr>
            <a:xfrm>
              <a:off x="6200775" y="14901862"/>
              <a:ext cx="13631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 kern="1200">
                            <a:latin typeface="Cambria Math" panose="02040503050406030204" pitchFamily="18" charset="0"/>
                          </a:rPr>
                          <m:t>𝑙</m:t>
                        </m:r>
                      </m:e>
                      <m:sub>
                        <m:r>
                          <a:rPr lang="pt-BR" sz="1100" b="0" i="1" kern="1200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</m:oMath>
                </m:oMathPara>
              </a14:m>
              <a:endParaRPr lang="pt-BR" sz="1100" kern="1200"/>
            </a:p>
          </xdr:txBody>
        </xdr:sp>
      </mc:Choice>
      <mc:Fallback xmlns="">
        <xdr:sp macro="" textlink="">
          <xdr:nvSpPr>
            <xdr:cNvPr id="45" name="CaixaDeTexto 44">
              <a:extLst>
                <a:ext uri="{FF2B5EF4-FFF2-40B4-BE49-F238E27FC236}">
                  <a16:creationId xmlns:a16="http://schemas.microsoft.com/office/drawing/2014/main" id="{0F5F5901-9A5F-4D1C-8B66-ED8E77176DA7}"/>
                </a:ext>
              </a:extLst>
            </xdr:cNvPr>
            <xdr:cNvSpPr txBox="1"/>
          </xdr:nvSpPr>
          <xdr:spPr>
            <a:xfrm>
              <a:off x="6200775" y="14901862"/>
              <a:ext cx="13631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 kern="1200">
                  <a:latin typeface="Cambria Math" panose="02040503050406030204" pitchFamily="18" charset="0"/>
                </a:rPr>
                <a:t>𝑙_0</a:t>
              </a:r>
              <a:endParaRPr lang="pt-BR" sz="1100" kern="1200"/>
            </a:p>
          </xdr:txBody>
        </xdr:sp>
      </mc:Fallback>
    </mc:AlternateContent>
    <xdr:clientData/>
  </xdr:oneCellAnchor>
  <xdr:twoCellAnchor editAs="oneCell">
    <xdr:from>
      <xdr:col>5</xdr:col>
      <xdr:colOff>45720</xdr:colOff>
      <xdr:row>84</xdr:row>
      <xdr:rowOff>140842</xdr:rowOff>
    </xdr:from>
    <xdr:to>
      <xdr:col>9</xdr:col>
      <xdr:colOff>365760</xdr:colOff>
      <xdr:row>100</xdr:row>
      <xdr:rowOff>90806</xdr:rowOff>
    </xdr:to>
    <xdr:pic>
      <xdr:nvPicPr>
        <xdr:cNvPr id="46" name="Imagem 45" descr="Diagrama&#10;&#10;Descrição gerada automaticamente">
          <a:extLst>
            <a:ext uri="{FF2B5EF4-FFF2-40B4-BE49-F238E27FC236}">
              <a16:creationId xmlns:a16="http://schemas.microsoft.com/office/drawing/2014/main" id="{9DF99F88-6C2E-6BAA-3BCF-69D5F5BC2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657600" y="15502762"/>
          <a:ext cx="4069080" cy="2876044"/>
        </a:xfrm>
        <a:prstGeom prst="rect">
          <a:avLst/>
        </a:prstGeom>
      </xdr:spPr>
    </xdr:pic>
    <xdr:clientData/>
  </xdr:twoCellAnchor>
  <xdr:oneCellAnchor>
    <xdr:from>
      <xdr:col>26</xdr:col>
      <xdr:colOff>87029</xdr:colOff>
      <xdr:row>1</xdr:row>
      <xdr:rowOff>80010</xdr:rowOff>
    </xdr:from>
    <xdr:ext cx="7523445" cy="3775710"/>
    <xdr:pic>
      <xdr:nvPicPr>
        <xdr:cNvPr id="47" name="Imagem 46">
          <a:extLst>
            <a:ext uri="{FF2B5EF4-FFF2-40B4-BE49-F238E27FC236}">
              <a16:creationId xmlns:a16="http://schemas.microsoft.com/office/drawing/2014/main" id="{1AA46D4D-BA8B-4EC9-BF53-C410B8C3DE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b="42408"/>
        <a:stretch/>
      </xdr:blipFill>
      <xdr:spPr>
        <a:xfrm>
          <a:off x="21727829" y="80010"/>
          <a:ext cx="7523445" cy="3775710"/>
        </a:xfrm>
        <a:prstGeom prst="rect">
          <a:avLst/>
        </a:prstGeom>
      </xdr:spPr>
    </xdr:pic>
    <xdr:clientData/>
  </xdr:oneCellAnchor>
  <xdr:oneCellAnchor>
    <xdr:from>
      <xdr:col>25</xdr:col>
      <xdr:colOff>130959</xdr:colOff>
      <xdr:row>26</xdr:row>
      <xdr:rowOff>157345</xdr:rowOff>
    </xdr:from>
    <xdr:ext cx="7611537" cy="3806190"/>
    <xdr:pic>
      <xdr:nvPicPr>
        <xdr:cNvPr id="48" name="Imagem 47">
          <a:extLst>
            <a:ext uri="{FF2B5EF4-FFF2-40B4-BE49-F238E27FC236}">
              <a16:creationId xmlns:a16="http://schemas.microsoft.com/office/drawing/2014/main" id="{42340A4D-0938-4075-AD58-5D359BACBB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b="21194"/>
        <a:stretch/>
      </xdr:blipFill>
      <xdr:spPr>
        <a:xfrm>
          <a:off x="20137512" y="5483239"/>
          <a:ext cx="7611537" cy="3806190"/>
        </a:xfrm>
        <a:prstGeom prst="rect">
          <a:avLst/>
        </a:prstGeom>
      </xdr:spPr>
    </xdr:pic>
    <xdr:clientData/>
  </xdr:oneCellAnchor>
  <xdr:oneCellAnchor>
    <xdr:from>
      <xdr:col>26</xdr:col>
      <xdr:colOff>99060</xdr:colOff>
      <xdr:row>21</xdr:row>
      <xdr:rowOff>83820</xdr:rowOff>
    </xdr:from>
    <xdr:ext cx="7523445" cy="1061924"/>
    <xdr:pic>
      <xdr:nvPicPr>
        <xdr:cNvPr id="51" name="Imagem 50">
          <a:extLst>
            <a:ext uri="{FF2B5EF4-FFF2-40B4-BE49-F238E27FC236}">
              <a16:creationId xmlns:a16="http://schemas.microsoft.com/office/drawing/2014/main" id="{37F11577-BF85-463A-B84A-0225CB533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83802"/>
        <a:stretch/>
      </xdr:blipFill>
      <xdr:spPr>
        <a:xfrm>
          <a:off x="21739860" y="3893820"/>
          <a:ext cx="7523445" cy="1061924"/>
        </a:xfrm>
        <a:prstGeom prst="rect">
          <a:avLst/>
        </a:prstGeom>
      </xdr:spPr>
    </xdr:pic>
    <xdr:clientData/>
  </xdr:oneCellAnchor>
  <xdr:oneCellAnchor>
    <xdr:from>
      <xdr:col>43</xdr:col>
      <xdr:colOff>266700</xdr:colOff>
      <xdr:row>32</xdr:row>
      <xdr:rowOff>185737</xdr:rowOff>
    </xdr:from>
    <xdr:ext cx="32669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" name="CaixaDeTexto 52">
              <a:extLst>
                <a:ext uri="{FF2B5EF4-FFF2-40B4-BE49-F238E27FC236}">
                  <a16:creationId xmlns:a16="http://schemas.microsoft.com/office/drawing/2014/main" id="{C34C0734-5C0C-4282-85BF-18C637C9C04A}"/>
                </a:ext>
              </a:extLst>
            </xdr:cNvPr>
            <xdr:cNvSpPr txBox="1"/>
          </xdr:nvSpPr>
          <xdr:spPr>
            <a:xfrm>
              <a:off x="3271157" y="7098166"/>
              <a:ext cx="32669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sub>
                    </m:sSub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pt-BR" sz="1100" kern="1200"/>
            </a:p>
          </xdr:txBody>
        </xdr:sp>
      </mc:Choice>
      <mc:Fallback xmlns="">
        <xdr:sp macro="" textlink="">
          <xdr:nvSpPr>
            <xdr:cNvPr id="53" name="CaixaDeTexto 52">
              <a:extLst>
                <a:ext uri="{FF2B5EF4-FFF2-40B4-BE49-F238E27FC236}">
                  <a16:creationId xmlns:a16="http://schemas.microsoft.com/office/drawing/2014/main" id="{C34C0734-5C0C-4282-85BF-18C637C9C04A}"/>
                </a:ext>
              </a:extLst>
            </xdr:cNvPr>
            <xdr:cNvSpPr txBox="1"/>
          </xdr:nvSpPr>
          <xdr:spPr>
            <a:xfrm>
              <a:off x="3271157" y="7098166"/>
              <a:ext cx="32669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𝐸_𝐺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endParaRPr lang="pt-BR" sz="1100" kern="1200"/>
            </a:p>
          </xdr:txBody>
        </xdr:sp>
      </mc:Fallback>
    </mc:AlternateContent>
    <xdr:clientData/>
  </xdr:oneCellAnchor>
  <xdr:oneCellAnchor>
    <xdr:from>
      <xdr:col>43</xdr:col>
      <xdr:colOff>333375</xdr:colOff>
      <xdr:row>31</xdr:row>
      <xdr:rowOff>4762</xdr:rowOff>
    </xdr:from>
    <xdr:ext cx="266700" cy="185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4" name="CaixaDeTexto 53">
              <a:extLst>
                <a:ext uri="{FF2B5EF4-FFF2-40B4-BE49-F238E27FC236}">
                  <a16:creationId xmlns:a16="http://schemas.microsoft.com/office/drawing/2014/main" id="{F9516301-C748-497F-A2BE-441CF6D4D235}"/>
                </a:ext>
              </a:extLst>
            </xdr:cNvPr>
            <xdr:cNvSpPr txBox="1"/>
          </xdr:nvSpPr>
          <xdr:spPr>
            <a:xfrm>
              <a:off x="3337832" y="6721248"/>
              <a:ext cx="266700" cy="185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pt-B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𝐸</m:t>
                      </m:r>
                    </m:e>
                    <m:sub>
                      <m:r>
                        <a:rPr lang="pt-B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𝑝</m:t>
                      </m:r>
                    </m:sub>
                  </m:sSub>
                </m:oMath>
              </a14:m>
              <a:r>
                <a:rPr lang="pt-BR" sz="1100" kern="1200"/>
                <a:t> =</a:t>
              </a:r>
            </a:p>
          </xdr:txBody>
        </xdr:sp>
      </mc:Choice>
      <mc:Fallback xmlns="">
        <xdr:sp macro="" textlink="">
          <xdr:nvSpPr>
            <xdr:cNvPr id="54" name="CaixaDeTexto 53">
              <a:extLst>
                <a:ext uri="{FF2B5EF4-FFF2-40B4-BE49-F238E27FC236}">
                  <a16:creationId xmlns:a16="http://schemas.microsoft.com/office/drawing/2014/main" id="{F9516301-C748-497F-A2BE-441CF6D4D235}"/>
                </a:ext>
              </a:extLst>
            </xdr:cNvPr>
            <xdr:cNvSpPr txBox="1"/>
          </xdr:nvSpPr>
          <xdr:spPr>
            <a:xfrm>
              <a:off x="3337832" y="6721248"/>
              <a:ext cx="266700" cy="185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t-B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𝐸_𝑝</a:t>
              </a:r>
              <a:r>
                <a:rPr lang="pt-BR" sz="1100" kern="1200"/>
                <a:t> =</a:t>
              </a:r>
            </a:p>
          </xdr:txBody>
        </xdr:sp>
      </mc:Fallback>
    </mc:AlternateContent>
    <xdr:clientData/>
  </xdr:oneCellAnchor>
  <xdr:oneCellAnchor>
    <xdr:from>
      <xdr:col>43</xdr:col>
      <xdr:colOff>276225</xdr:colOff>
      <xdr:row>32</xdr:row>
      <xdr:rowOff>4762</xdr:rowOff>
    </xdr:from>
    <xdr:ext cx="325666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5" name="CaixaDeTexto 54">
              <a:extLst>
                <a:ext uri="{FF2B5EF4-FFF2-40B4-BE49-F238E27FC236}">
                  <a16:creationId xmlns:a16="http://schemas.microsoft.com/office/drawing/2014/main" id="{8D07F610-E277-4E3D-AA23-4C5D7F6FDCED}"/>
                </a:ext>
              </a:extLst>
            </xdr:cNvPr>
            <xdr:cNvSpPr txBox="1"/>
          </xdr:nvSpPr>
          <xdr:spPr>
            <a:xfrm>
              <a:off x="3280682" y="6917191"/>
              <a:ext cx="325666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lang="pt-B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sub>
                    </m:sSub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pt-BR" sz="1100" kern="1200"/>
            </a:p>
          </xdr:txBody>
        </xdr:sp>
      </mc:Choice>
      <mc:Fallback xmlns="">
        <xdr:sp macro="" textlink="">
          <xdr:nvSpPr>
            <xdr:cNvPr id="55" name="CaixaDeTexto 54">
              <a:extLst>
                <a:ext uri="{FF2B5EF4-FFF2-40B4-BE49-F238E27FC236}">
                  <a16:creationId xmlns:a16="http://schemas.microsoft.com/office/drawing/2014/main" id="{8D07F610-E277-4E3D-AA23-4C5D7F6FDCED}"/>
                </a:ext>
              </a:extLst>
            </xdr:cNvPr>
            <xdr:cNvSpPr txBox="1"/>
          </xdr:nvSpPr>
          <xdr:spPr>
            <a:xfrm>
              <a:off x="3280682" y="6917191"/>
              <a:ext cx="325666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𝐸_𝐸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endParaRPr lang="pt-BR" sz="1100" kern="1200"/>
            </a:p>
          </xdr:txBody>
        </xdr:sp>
      </mc:Fallback>
    </mc:AlternateContent>
    <xdr:clientData/>
  </xdr:oneCellAnchor>
  <xdr:oneCellAnchor>
    <xdr:from>
      <xdr:col>43</xdr:col>
      <xdr:colOff>314325</xdr:colOff>
      <xdr:row>34</xdr:row>
      <xdr:rowOff>185737</xdr:rowOff>
    </xdr:from>
    <xdr:ext cx="291939" cy="1853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6" name="CaixaDeTexto 55">
              <a:extLst>
                <a:ext uri="{FF2B5EF4-FFF2-40B4-BE49-F238E27FC236}">
                  <a16:creationId xmlns:a16="http://schemas.microsoft.com/office/drawing/2014/main" id="{C66471F4-967B-453F-A4C1-A0D767FFA7A0}"/>
                </a:ext>
              </a:extLst>
            </xdr:cNvPr>
            <xdr:cNvSpPr txBox="1"/>
          </xdr:nvSpPr>
          <xdr:spPr>
            <a:xfrm>
              <a:off x="3318782" y="7490051"/>
              <a:ext cx="291939" cy="1853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pt-B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𝐶</m:t>
                      </m:r>
                    </m:e>
                    <m:sub>
                      <m:r>
                        <a:rPr lang="pt-BR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𝑓</m:t>
                      </m:r>
                    </m:sub>
                  </m:sSub>
                </m:oMath>
              </a14:m>
              <a:r>
                <a:rPr lang="pt-BR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 </a:t>
              </a:r>
              <a:endParaRPr lang="pt-BR" sz="1100" kern="1200"/>
            </a:p>
          </xdr:txBody>
        </xdr:sp>
      </mc:Choice>
      <mc:Fallback xmlns="">
        <xdr:sp macro="" textlink="">
          <xdr:nvSpPr>
            <xdr:cNvPr id="56" name="CaixaDeTexto 55">
              <a:extLst>
                <a:ext uri="{FF2B5EF4-FFF2-40B4-BE49-F238E27FC236}">
                  <a16:creationId xmlns:a16="http://schemas.microsoft.com/office/drawing/2014/main" id="{C66471F4-967B-453F-A4C1-A0D767FFA7A0}"/>
                </a:ext>
              </a:extLst>
            </xdr:cNvPr>
            <xdr:cNvSpPr txBox="1"/>
          </xdr:nvSpPr>
          <xdr:spPr>
            <a:xfrm>
              <a:off x="3318782" y="7490051"/>
              <a:ext cx="291939" cy="1853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𝐶_𝑓</a:t>
              </a:r>
              <a:r>
                <a:rPr lang="pt-BR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 </a:t>
              </a:r>
              <a:endParaRPr lang="pt-BR" sz="1100" kern="1200"/>
            </a:p>
          </xdr:txBody>
        </xdr:sp>
      </mc:Fallback>
    </mc:AlternateContent>
    <xdr:clientData/>
  </xdr:oneCellAnchor>
  <xdr:twoCellAnchor editAs="oneCell">
    <xdr:from>
      <xdr:col>26</xdr:col>
      <xdr:colOff>137810</xdr:colOff>
      <xdr:row>47</xdr:row>
      <xdr:rowOff>105384</xdr:rowOff>
    </xdr:from>
    <xdr:to>
      <xdr:col>38</xdr:col>
      <xdr:colOff>243193</xdr:colOff>
      <xdr:row>52</xdr:row>
      <xdr:rowOff>15082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430D6D3-B865-F0F8-D6D7-CC56E0CDD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282172" y="9492575"/>
          <a:ext cx="7401127" cy="8743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</xdr:colOff>
      <xdr:row>5</xdr:row>
      <xdr:rowOff>76200</xdr:rowOff>
    </xdr:from>
    <xdr:to>
      <xdr:col>3</xdr:col>
      <xdr:colOff>1165860</xdr:colOff>
      <xdr:row>6</xdr:row>
      <xdr:rowOff>160020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D1A335-C6B8-4AAB-8E85-E6676E552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0840" y="1013460"/>
          <a:ext cx="9448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1141095</xdr:colOff>
      <xdr:row>4</xdr:row>
      <xdr:rowOff>9525</xdr:rowOff>
    </xdr:from>
    <xdr:to>
      <xdr:col>8</xdr:col>
      <xdr:colOff>1593941</xdr:colOff>
      <xdr:row>5</xdr:row>
      <xdr:rowOff>17145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6E651FE-189D-4FEF-89BD-3EDB8564B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395" y="1057275"/>
          <a:ext cx="452846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685800</xdr:colOff>
      <xdr:row>12</xdr:row>
      <xdr:rowOff>68580</xdr:rowOff>
    </xdr:from>
    <xdr:to>
      <xdr:col>8</xdr:col>
      <xdr:colOff>305669</xdr:colOff>
      <xdr:row>22</xdr:row>
      <xdr:rowOff>89874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4940B1-55B9-447C-A23E-07821FB91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58740" y="2316480"/>
          <a:ext cx="2256389" cy="1850094"/>
        </a:xfrm>
        <a:prstGeom prst="rect">
          <a:avLst/>
        </a:prstGeom>
      </xdr:spPr>
    </xdr:pic>
    <xdr:clientData/>
  </xdr:twoCellAnchor>
  <xdr:twoCellAnchor editAs="oneCell">
    <xdr:from>
      <xdr:col>2</xdr:col>
      <xdr:colOff>403860</xdr:colOff>
      <xdr:row>13</xdr:row>
      <xdr:rowOff>152399</xdr:rowOff>
    </xdr:from>
    <xdr:to>
      <xdr:col>3</xdr:col>
      <xdr:colOff>609834</xdr:colOff>
      <xdr:row>15</xdr:row>
      <xdr:rowOff>152400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170A68C-5798-4AE5-B3FF-8BE063D37D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3966" b="25089"/>
        <a:stretch/>
      </xdr:blipFill>
      <xdr:spPr>
        <a:xfrm>
          <a:off x="1623060" y="2583179"/>
          <a:ext cx="1676634" cy="365761"/>
        </a:xfrm>
        <a:prstGeom prst="rect">
          <a:avLst/>
        </a:prstGeom>
      </xdr:spPr>
    </xdr:pic>
    <xdr:clientData/>
  </xdr:twoCellAnchor>
  <xdr:twoCellAnchor>
    <xdr:from>
      <xdr:col>6</xdr:col>
      <xdr:colOff>335280</xdr:colOff>
      <xdr:row>28</xdr:row>
      <xdr:rowOff>144780</xdr:rowOff>
    </xdr:from>
    <xdr:to>
      <xdr:col>7</xdr:col>
      <xdr:colOff>350520</xdr:colOff>
      <xdr:row>30</xdr:row>
      <xdr:rowOff>68580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BC8DD46-0B49-F06C-9325-7EAB317F1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9780" y="5318760"/>
          <a:ext cx="89154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327660</xdr:colOff>
      <xdr:row>28</xdr:row>
      <xdr:rowOff>0</xdr:rowOff>
    </xdr:from>
    <xdr:to>
      <xdr:col>7</xdr:col>
      <xdr:colOff>350520</xdr:colOff>
      <xdr:row>29</xdr:row>
      <xdr:rowOff>83820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9FE5D89-CFD0-2121-9B1A-95F52A08E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173980"/>
          <a:ext cx="89916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350520</xdr:colOff>
      <xdr:row>8</xdr:row>
      <xdr:rowOff>152400</xdr:rowOff>
    </xdr:from>
    <xdr:to>
      <xdr:col>2</xdr:col>
      <xdr:colOff>838200</xdr:colOff>
      <xdr:row>10</xdr:row>
      <xdr:rowOff>129540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CCDC8442-DC61-AB9C-C358-B90FB1F20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" y="1965960"/>
          <a:ext cx="48768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251460</xdr:colOff>
      <xdr:row>17</xdr:row>
      <xdr:rowOff>167640</xdr:rowOff>
    </xdr:from>
    <xdr:to>
      <xdr:col>2</xdr:col>
      <xdr:colOff>762000</xdr:colOff>
      <xdr:row>18</xdr:row>
      <xdr:rowOff>167640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90A1718A-E61F-5321-B848-62CCBDF589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-3077" b="35135"/>
        <a:stretch/>
      </xdr:blipFill>
      <xdr:spPr bwMode="auto">
        <a:xfrm>
          <a:off x="1470660" y="5097780"/>
          <a:ext cx="51054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243840</xdr:colOff>
      <xdr:row>20</xdr:row>
      <xdr:rowOff>76200</xdr:rowOff>
    </xdr:from>
    <xdr:to>
      <xdr:col>2</xdr:col>
      <xdr:colOff>1394460</xdr:colOff>
      <xdr:row>22</xdr:row>
      <xdr:rowOff>38100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F9D696B5-CD66-DE82-7631-FFE7DBB22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" y="5554980"/>
          <a:ext cx="115062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1112520</xdr:colOff>
      <xdr:row>18</xdr:row>
      <xdr:rowOff>22860</xdr:rowOff>
    </xdr:from>
    <xdr:to>
      <xdr:col>4</xdr:col>
      <xdr:colOff>30480</xdr:colOff>
      <xdr:row>19</xdr:row>
      <xdr:rowOff>91440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9F21D781-EFA0-5E00-33D7-16A6C435B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2380" y="5135880"/>
          <a:ext cx="9144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1043940</xdr:colOff>
      <xdr:row>18</xdr:row>
      <xdr:rowOff>160020</xdr:rowOff>
    </xdr:from>
    <xdr:to>
      <xdr:col>4</xdr:col>
      <xdr:colOff>15240</xdr:colOff>
      <xdr:row>20</xdr:row>
      <xdr:rowOff>60960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D82E313B-643B-208B-E261-9D0E321AB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5273040"/>
          <a:ext cx="14478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381000</xdr:colOff>
      <xdr:row>19</xdr:row>
      <xdr:rowOff>42386</xdr:rowOff>
    </xdr:from>
    <xdr:to>
      <xdr:col>6</xdr:col>
      <xdr:colOff>754380</xdr:colOff>
      <xdr:row>20</xdr:row>
      <xdr:rowOff>22860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90C4CE5D-6A99-E797-7402-20336F53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3909536"/>
          <a:ext cx="373380" cy="17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436245</xdr:colOff>
      <xdr:row>29</xdr:row>
      <xdr:rowOff>66675</xdr:rowOff>
    </xdr:from>
    <xdr:ext cx="800925" cy="37664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7" name="CaixaDeTexto 26">
              <a:extLst>
                <a:ext uri="{FF2B5EF4-FFF2-40B4-BE49-F238E27FC236}">
                  <a16:creationId xmlns:a16="http://schemas.microsoft.com/office/drawing/2014/main" id="{23B1966F-3C18-BEE9-E226-0686C04598C3}"/>
                </a:ext>
              </a:extLst>
            </xdr:cNvPr>
            <xdr:cNvSpPr txBox="1"/>
          </xdr:nvSpPr>
          <xdr:spPr>
            <a:xfrm>
              <a:off x="1045845" y="5762625"/>
              <a:ext cx="800925" cy="3766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i="1" kern="12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𝛿</m:t>
                    </m:r>
                    <m:r>
                      <a:rPr lang="pt-BR" sz="1100" b="0" i="1" kern="12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d>
                      <m:dPr>
                        <m:begChr m:val="|"/>
                        <m:endChr m:val="|"/>
                        <m:ctrlPr>
                          <a:rPr lang="pt-BR" sz="11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𝑙</m:t>
                                </m:r>
                              </m:e>
                              <m:sub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𝑓</m:t>
                                </m:r>
                              </m:sub>
                            </m:sSub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𝑙</m:t>
                                </m:r>
                              </m:e>
                              <m:sub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𝑙</m:t>
                                </m:r>
                              </m:e>
                              <m:sub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pt-BR" sz="1100" b="0" i="1" kern="12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100" kern="1200"/>
            </a:p>
          </xdr:txBody>
        </xdr:sp>
      </mc:Choice>
      <mc:Fallback>
        <xdr:sp macro="" textlink="">
          <xdr:nvSpPr>
            <xdr:cNvPr id="27" name="CaixaDeTexto 26">
              <a:extLst>
                <a:ext uri="{FF2B5EF4-FFF2-40B4-BE49-F238E27FC236}">
                  <a16:creationId xmlns:a16="http://schemas.microsoft.com/office/drawing/2014/main" id="{23B1966F-3C18-BEE9-E226-0686C04598C3}"/>
                </a:ext>
              </a:extLst>
            </xdr:cNvPr>
            <xdr:cNvSpPr txBox="1"/>
          </xdr:nvSpPr>
          <xdr:spPr>
            <a:xfrm>
              <a:off x="1045845" y="5762625"/>
              <a:ext cx="800925" cy="3766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pt-BR" sz="1100" b="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=|</a:t>
              </a:r>
              <a:r>
                <a:rPr lang="pt-BR" sz="11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𝑙_𝑓−𝑙_0)/𝑙_0 |</a:t>
              </a:r>
              <a:r>
                <a:rPr lang="pt-BR" sz="11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</a:t>
              </a:r>
              <a:r>
                <a:rPr lang="pt-BR" sz="1100" b="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endParaRPr lang="pt-BR" sz="1100" kern="1200"/>
            </a:p>
          </xdr:txBody>
        </xdr:sp>
      </mc:Fallback>
    </mc:AlternateContent>
    <xdr:clientData/>
  </xdr:oneCellAnchor>
  <xdr:oneCellAnchor>
    <xdr:from>
      <xdr:col>3</xdr:col>
      <xdr:colOff>1021080</xdr:colOff>
      <xdr:row>19</xdr:row>
      <xdr:rowOff>161925</xdr:rowOff>
    </xdr:from>
    <xdr:ext cx="185179" cy="34599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9" name="CaixaDeTexto 28">
              <a:extLst>
                <a:ext uri="{FF2B5EF4-FFF2-40B4-BE49-F238E27FC236}">
                  <a16:creationId xmlns:a16="http://schemas.microsoft.com/office/drawing/2014/main" id="{979959F8-013D-1F90-1D70-6D32A471B46A}"/>
                </a:ext>
              </a:extLst>
            </xdr:cNvPr>
            <xdr:cNvSpPr txBox="1"/>
          </xdr:nvSpPr>
          <xdr:spPr>
            <a:xfrm>
              <a:off x="3707130" y="4029075"/>
              <a:ext cx="185179" cy="34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 kern="1200">
                            <a:latin typeface="Cambria Math" panose="02040503050406030204" pitchFamily="18" charset="0"/>
                          </a:rPr>
                          <m:t>𝑙</m:t>
                        </m:r>
                      </m:e>
                      <m:sub>
                        <m:r>
                          <a:rPr lang="pt-BR" sz="1100" b="0" i="1" kern="1200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</m:oMath>
                </m:oMathPara>
              </a14:m>
              <a:endParaRPr lang="pt-BR" sz="1100" b="0" kern="1200"/>
            </a:p>
            <a:p>
              <a:endParaRPr lang="pt-BR" sz="1100" kern="1200"/>
            </a:p>
          </xdr:txBody>
        </xdr:sp>
      </mc:Choice>
      <mc:Fallback>
        <xdr:sp macro="" textlink="">
          <xdr:nvSpPr>
            <xdr:cNvPr id="29" name="CaixaDeTexto 28">
              <a:extLst>
                <a:ext uri="{FF2B5EF4-FFF2-40B4-BE49-F238E27FC236}">
                  <a16:creationId xmlns:a16="http://schemas.microsoft.com/office/drawing/2014/main" id="{979959F8-013D-1F90-1D70-6D32A471B46A}"/>
                </a:ext>
              </a:extLst>
            </xdr:cNvPr>
            <xdr:cNvSpPr txBox="1"/>
          </xdr:nvSpPr>
          <xdr:spPr>
            <a:xfrm>
              <a:off x="3707130" y="4029075"/>
              <a:ext cx="185179" cy="34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 kern="1200">
                  <a:latin typeface="Cambria Math" panose="02040503050406030204" pitchFamily="18" charset="0"/>
                </a:rPr>
                <a:t>𝑙_0</a:t>
              </a:r>
              <a:endParaRPr lang="pt-BR" sz="1100" b="0" kern="1200"/>
            </a:p>
            <a:p>
              <a:endParaRPr lang="pt-BR" sz="1100" kern="1200"/>
            </a:p>
          </xdr:txBody>
        </xdr:sp>
      </mc:Fallback>
    </mc:AlternateContent>
    <xdr:clientData/>
  </xdr:oneCellAnchor>
  <xdr:oneCellAnchor>
    <xdr:from>
      <xdr:col>3</xdr:col>
      <xdr:colOff>1051560</xdr:colOff>
      <xdr:row>21</xdr:row>
      <xdr:rowOff>19050</xdr:rowOff>
    </xdr:from>
    <xdr:ext cx="177549" cy="35503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0" name="CaixaDeTexto 29">
              <a:extLst>
                <a:ext uri="{FF2B5EF4-FFF2-40B4-BE49-F238E27FC236}">
                  <a16:creationId xmlns:a16="http://schemas.microsoft.com/office/drawing/2014/main" id="{49D303E4-DE5F-40D8-B5CA-5B93319BE4A9}"/>
                </a:ext>
              </a:extLst>
            </xdr:cNvPr>
            <xdr:cNvSpPr txBox="1"/>
          </xdr:nvSpPr>
          <xdr:spPr>
            <a:xfrm>
              <a:off x="3737610" y="4257675"/>
              <a:ext cx="177549" cy="3550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 kern="1200">
                            <a:latin typeface="Cambria Math" panose="02040503050406030204" pitchFamily="18" charset="0"/>
                          </a:rPr>
                          <m:t>𝑙</m:t>
                        </m:r>
                      </m:e>
                      <m:sub>
                        <m:r>
                          <a:rPr lang="pt-BR" sz="1100" b="0" i="1" kern="1200">
                            <a:latin typeface="Cambria Math" panose="02040503050406030204" pitchFamily="18" charset="0"/>
                          </a:rPr>
                          <m:t>𝑓</m:t>
                        </m:r>
                      </m:sub>
                    </m:sSub>
                  </m:oMath>
                </m:oMathPara>
              </a14:m>
              <a:endParaRPr lang="pt-BR" sz="1100" b="0" kern="1200"/>
            </a:p>
            <a:p>
              <a:endParaRPr lang="pt-BR" sz="1100" kern="1200"/>
            </a:p>
          </xdr:txBody>
        </xdr:sp>
      </mc:Choice>
      <mc:Fallback>
        <xdr:sp macro="" textlink="">
          <xdr:nvSpPr>
            <xdr:cNvPr id="30" name="CaixaDeTexto 29">
              <a:extLst>
                <a:ext uri="{FF2B5EF4-FFF2-40B4-BE49-F238E27FC236}">
                  <a16:creationId xmlns:a16="http://schemas.microsoft.com/office/drawing/2014/main" id="{49D303E4-DE5F-40D8-B5CA-5B93319BE4A9}"/>
                </a:ext>
              </a:extLst>
            </xdr:cNvPr>
            <xdr:cNvSpPr txBox="1"/>
          </xdr:nvSpPr>
          <xdr:spPr>
            <a:xfrm>
              <a:off x="3737610" y="4257675"/>
              <a:ext cx="177549" cy="3550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 kern="1200">
                  <a:latin typeface="Cambria Math" panose="02040503050406030204" pitchFamily="18" charset="0"/>
                </a:rPr>
                <a:t>𝑙_𝑓</a:t>
              </a:r>
              <a:endParaRPr lang="pt-BR" sz="1100" b="0" kern="1200"/>
            </a:p>
            <a:p>
              <a:endParaRPr lang="pt-BR" sz="1100" kern="1200"/>
            </a:p>
          </xdr:txBody>
        </xdr:sp>
      </mc:Fallback>
    </mc:AlternateContent>
    <xdr:clientData/>
  </xdr:oneCellAnchor>
  <xdr:oneCellAnchor>
    <xdr:from>
      <xdr:col>1</xdr:col>
      <xdr:colOff>396240</xdr:colOff>
      <xdr:row>23</xdr:row>
      <xdr:rowOff>9525</xdr:rowOff>
    </xdr:from>
    <xdr:ext cx="1772601" cy="53796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1" name="CaixaDeTexto 30">
              <a:extLst>
                <a:ext uri="{FF2B5EF4-FFF2-40B4-BE49-F238E27FC236}">
                  <a16:creationId xmlns:a16="http://schemas.microsoft.com/office/drawing/2014/main" id="{DE6479BC-24F4-44DD-B3EE-76235C10392E}"/>
                </a:ext>
              </a:extLst>
            </xdr:cNvPr>
            <xdr:cNvSpPr txBox="1"/>
          </xdr:nvSpPr>
          <xdr:spPr>
            <a:xfrm>
              <a:off x="1005840" y="4619625"/>
              <a:ext cx="1772601" cy="537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i="1" kern="12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𝛿</m:t>
                    </m:r>
                    <m:r>
                      <a:rPr lang="pt-BR" sz="1100" b="0" i="1" kern="12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d>
                      <m:dPr>
                        <m:begChr m:val="|"/>
                        <m:endChr m:val="|"/>
                        <m:ctrlPr>
                          <a:rPr lang="pt-BR" sz="11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𝜋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  <m:f>
                              <m:fPr>
                                <m:ctrlP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𝛼</m:t>
                                </m:r>
                              </m:num>
                              <m:den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𝜋</m:t>
                                </m:r>
                              </m:den>
                            </m:f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d>
                              <m:dPr>
                                <m:ctrlP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𝑟</m:t>
                                </m:r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𝑌</m:t>
                                </m:r>
                              </m:e>
                            </m:d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𝜋</m:t>
                            </m:r>
                            <m:f>
                              <m:fPr>
                                <m:ctrlP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𝛼</m:t>
                                </m:r>
                              </m:num>
                              <m:den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𝜋</m:t>
                                </m:r>
                              </m:den>
                            </m:f>
                          </m:num>
                          <m:den>
                            <m:d>
                              <m:dPr>
                                <m:ctrlP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𝑟</m:t>
                                </m:r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𝑌</m:t>
                                </m:r>
                              </m:e>
                            </m:d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𝜋</m:t>
                            </m:r>
                            <m:f>
                              <m:fPr>
                                <m:ctrlP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𝛼</m:t>
                                </m:r>
                              </m:num>
                              <m:den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𝜋</m:t>
                                </m:r>
                              </m:den>
                            </m:f>
                          </m:den>
                        </m:f>
                      </m:e>
                    </m:d>
                  </m:oMath>
                </m:oMathPara>
              </a14:m>
              <a:endParaRPr lang="pt-BR" sz="1100" kern="1200"/>
            </a:p>
          </xdr:txBody>
        </xdr:sp>
      </mc:Choice>
      <mc:Fallback>
        <xdr:sp macro="" textlink="">
          <xdr:nvSpPr>
            <xdr:cNvPr id="31" name="CaixaDeTexto 30">
              <a:extLst>
                <a:ext uri="{FF2B5EF4-FFF2-40B4-BE49-F238E27FC236}">
                  <a16:creationId xmlns:a16="http://schemas.microsoft.com/office/drawing/2014/main" id="{DE6479BC-24F4-44DD-B3EE-76235C10392E}"/>
                </a:ext>
              </a:extLst>
            </xdr:cNvPr>
            <xdr:cNvSpPr txBox="1"/>
          </xdr:nvSpPr>
          <xdr:spPr>
            <a:xfrm>
              <a:off x="1005840" y="4619625"/>
              <a:ext cx="1772601" cy="537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pt-BR" sz="1100" b="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=|</a:t>
              </a:r>
              <a:r>
                <a:rPr lang="pt-BR" sz="11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2𝜋𝑟 𝛼/2𝜋−(𝑟+𝑌)2𝜋 𝛼/2𝜋)/((𝑟+𝑌)2𝜋 𝛼/2𝜋)|</a:t>
              </a:r>
              <a:endParaRPr lang="pt-BR" sz="1100" kern="1200"/>
            </a:p>
          </xdr:txBody>
        </xdr:sp>
      </mc:Fallback>
    </mc:AlternateContent>
    <xdr:clientData/>
  </xdr:oneCellAnchor>
  <xdr:oneCellAnchor>
    <xdr:from>
      <xdr:col>2</xdr:col>
      <xdr:colOff>895350</xdr:colOff>
      <xdr:row>29</xdr:row>
      <xdr:rowOff>76200</xdr:rowOff>
    </xdr:from>
    <xdr:ext cx="766364" cy="34086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2" name="CaixaDeTexto 31">
              <a:extLst>
                <a:ext uri="{FF2B5EF4-FFF2-40B4-BE49-F238E27FC236}">
                  <a16:creationId xmlns:a16="http://schemas.microsoft.com/office/drawing/2014/main" id="{24E3B9DB-DF70-47D1-B408-4D497F8A3CAF}"/>
                </a:ext>
              </a:extLst>
            </xdr:cNvPr>
            <xdr:cNvSpPr txBox="1"/>
          </xdr:nvSpPr>
          <xdr:spPr>
            <a:xfrm>
              <a:off x="2114550" y="5772150"/>
              <a:ext cx="766364" cy="3408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i="1" kern="12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𝛿</m:t>
                    </m:r>
                    <m:r>
                      <a:rPr lang="pt-BR" sz="1100" b="0" i="1" kern="12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1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𝑌</m:t>
                        </m:r>
                      </m:num>
                      <m:den>
                        <m:d>
                          <m:dPr>
                            <m:ctrlP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𝑌</m:t>
                            </m:r>
                          </m:e>
                        </m:d>
                      </m:den>
                    </m:f>
                    <m:r>
                      <a:rPr lang="pt-BR" sz="1100" b="0" i="1" kern="12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100" kern="1200"/>
            </a:p>
          </xdr:txBody>
        </xdr:sp>
      </mc:Choice>
      <mc:Fallback>
        <xdr:sp macro="" textlink="">
          <xdr:nvSpPr>
            <xdr:cNvPr id="32" name="CaixaDeTexto 31">
              <a:extLst>
                <a:ext uri="{FF2B5EF4-FFF2-40B4-BE49-F238E27FC236}">
                  <a16:creationId xmlns:a16="http://schemas.microsoft.com/office/drawing/2014/main" id="{24E3B9DB-DF70-47D1-B408-4D497F8A3CAF}"/>
                </a:ext>
              </a:extLst>
            </xdr:cNvPr>
            <xdr:cNvSpPr txBox="1"/>
          </xdr:nvSpPr>
          <xdr:spPr>
            <a:xfrm>
              <a:off x="2114550" y="5772150"/>
              <a:ext cx="766364" cy="3408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pt-BR" sz="1100" b="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=𝑌/(</a:t>
              </a:r>
              <a:r>
                <a:rPr lang="pt-BR" sz="11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𝑟+𝑌) </a:t>
              </a:r>
              <a:r>
                <a:rPr lang="pt-BR" sz="11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 </a:t>
              </a:r>
              <a:r>
                <a:rPr lang="pt-BR" sz="1100" b="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endParaRPr lang="pt-BR" sz="1100" kern="1200"/>
            </a:p>
          </xdr:txBody>
        </xdr:sp>
      </mc:Fallback>
    </mc:AlternateContent>
    <xdr:clientData/>
  </xdr:oneCellAnchor>
  <xdr:oneCellAnchor>
    <xdr:from>
      <xdr:col>10</xdr:col>
      <xdr:colOff>238125</xdr:colOff>
      <xdr:row>18</xdr:row>
      <xdr:rowOff>0</xdr:rowOff>
    </xdr:from>
    <xdr:ext cx="175497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5" name="CaixaDeTexto 34">
              <a:extLst>
                <a:ext uri="{FF2B5EF4-FFF2-40B4-BE49-F238E27FC236}">
                  <a16:creationId xmlns:a16="http://schemas.microsoft.com/office/drawing/2014/main" id="{BF7BC811-AFCD-6242-7850-E6E770A6F2FB}"/>
                </a:ext>
              </a:extLst>
            </xdr:cNvPr>
            <xdr:cNvSpPr txBox="1"/>
          </xdr:nvSpPr>
          <xdr:spPr>
            <a:xfrm>
              <a:off x="10382250" y="3676650"/>
              <a:ext cx="17549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1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1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𝝈</m:t>
                        </m:r>
                      </m:e>
                      <m:sub>
                        <m:r>
                          <a:rPr lang="pt-BR" sz="1100" b="1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𝒓</m:t>
                        </m:r>
                      </m:sub>
                    </m:sSub>
                  </m:oMath>
                </m:oMathPara>
              </a14:m>
              <a:endParaRPr lang="pt-BR" sz="1100" b="1" kern="1200"/>
            </a:p>
          </xdr:txBody>
        </xdr:sp>
      </mc:Choice>
      <mc:Fallback>
        <xdr:sp macro="" textlink="">
          <xdr:nvSpPr>
            <xdr:cNvPr id="35" name="CaixaDeTexto 34">
              <a:extLst>
                <a:ext uri="{FF2B5EF4-FFF2-40B4-BE49-F238E27FC236}">
                  <a16:creationId xmlns:a16="http://schemas.microsoft.com/office/drawing/2014/main" id="{BF7BC811-AFCD-6242-7850-E6E770A6F2FB}"/>
                </a:ext>
              </a:extLst>
            </xdr:cNvPr>
            <xdr:cNvSpPr txBox="1"/>
          </xdr:nvSpPr>
          <xdr:spPr>
            <a:xfrm>
              <a:off x="10382250" y="3676650"/>
              <a:ext cx="17549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1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𝝈_𝒓</a:t>
              </a:r>
              <a:endParaRPr lang="pt-BR" sz="1100" b="1" kern="1200"/>
            </a:p>
          </xdr:txBody>
        </xdr:sp>
      </mc:Fallback>
    </mc:AlternateContent>
    <xdr:clientData/>
  </xdr:oneCellAnchor>
  <xdr:twoCellAnchor editAs="oneCell">
    <xdr:from>
      <xdr:col>1</xdr:col>
      <xdr:colOff>525781</xdr:colOff>
      <xdr:row>37</xdr:row>
      <xdr:rowOff>22860</xdr:rowOff>
    </xdr:from>
    <xdr:to>
      <xdr:col>4</xdr:col>
      <xdr:colOff>555267</xdr:colOff>
      <xdr:row>48</xdr:row>
      <xdr:rowOff>22027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917AFE9A-6872-0A60-731D-C39E94E01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5381" y="7231380"/>
          <a:ext cx="3283226" cy="2039422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39</xdr:row>
      <xdr:rowOff>38100</xdr:rowOff>
    </xdr:from>
    <xdr:to>
      <xdr:col>7</xdr:col>
      <xdr:colOff>944880</xdr:colOff>
      <xdr:row>40</xdr:row>
      <xdr:rowOff>106680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EB3A559E-7399-BBE5-B69D-2D4ADD205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5440" y="9029700"/>
          <a:ext cx="166878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137160</xdr:colOff>
      <xdr:row>40</xdr:row>
      <xdr:rowOff>38100</xdr:rowOff>
    </xdr:from>
    <xdr:to>
      <xdr:col>6</xdr:col>
      <xdr:colOff>701040</xdr:colOff>
      <xdr:row>41</xdr:row>
      <xdr:rowOff>121920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716B3876-A54D-93E6-EF2E-503D73FBE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9227820"/>
          <a:ext cx="56388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373380</xdr:colOff>
      <xdr:row>43</xdr:row>
      <xdr:rowOff>3810</xdr:rowOff>
    </xdr:from>
    <xdr:ext cx="160492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3" name="CaixaDeTexto 42">
              <a:extLst>
                <a:ext uri="{FF2B5EF4-FFF2-40B4-BE49-F238E27FC236}">
                  <a16:creationId xmlns:a16="http://schemas.microsoft.com/office/drawing/2014/main" id="{B81C0A78-10A9-1777-C6A2-77AFB25ED87A}"/>
                </a:ext>
              </a:extLst>
            </xdr:cNvPr>
            <xdr:cNvSpPr txBox="1"/>
          </xdr:nvSpPr>
          <xdr:spPr>
            <a:xfrm>
              <a:off x="7412355" y="4242435"/>
              <a:ext cx="160492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pt-BR" sz="11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pt-BR" sz="110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𝛼</m:t>
                        </m:r>
                      </m:e>
                      <m:sup>
                        <m:r>
                          <a:rPr lang="pt-BR" sz="11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′</m:t>
                        </m:r>
                      </m:sup>
                    </m:sSup>
                  </m:oMath>
                </m:oMathPara>
              </a14:m>
              <a:endParaRPr lang="pt-BR" sz="1100" kern="1200"/>
            </a:p>
          </xdr:txBody>
        </xdr:sp>
      </mc:Choice>
      <mc:Fallback>
        <xdr:sp macro="" textlink="">
          <xdr:nvSpPr>
            <xdr:cNvPr id="43" name="CaixaDeTexto 42">
              <a:extLst>
                <a:ext uri="{FF2B5EF4-FFF2-40B4-BE49-F238E27FC236}">
                  <a16:creationId xmlns:a16="http://schemas.microsoft.com/office/drawing/2014/main" id="{B81C0A78-10A9-1777-C6A2-77AFB25ED87A}"/>
                </a:ext>
              </a:extLst>
            </xdr:cNvPr>
            <xdr:cNvSpPr txBox="1"/>
          </xdr:nvSpPr>
          <xdr:spPr>
            <a:xfrm>
              <a:off x="7412355" y="4242435"/>
              <a:ext cx="160492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𝛼</a:t>
              </a:r>
              <a:r>
                <a:rPr lang="pt-BR" sz="1100" b="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^′</a:t>
              </a:r>
              <a:endParaRPr lang="pt-BR" sz="1100" kern="1200"/>
            </a:p>
          </xdr:txBody>
        </xdr:sp>
      </mc:Fallback>
    </mc:AlternateContent>
    <xdr:clientData/>
  </xdr:oneCellAnchor>
  <xdr:twoCellAnchor>
    <xdr:from>
      <xdr:col>2</xdr:col>
      <xdr:colOff>99060</xdr:colOff>
      <xdr:row>58</xdr:row>
      <xdr:rowOff>121920</xdr:rowOff>
    </xdr:from>
    <xdr:to>
      <xdr:col>2</xdr:col>
      <xdr:colOff>822960</xdr:colOff>
      <xdr:row>60</xdr:row>
      <xdr:rowOff>144780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A29AC6C5-B91F-6602-C03C-A25C23187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" y="11704320"/>
          <a:ext cx="72390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815340</xdr:colOff>
      <xdr:row>55</xdr:row>
      <xdr:rowOff>22860</xdr:rowOff>
    </xdr:from>
    <xdr:to>
      <xdr:col>6</xdr:col>
      <xdr:colOff>868680</xdr:colOff>
      <xdr:row>56</xdr:row>
      <xdr:rowOff>91440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38751E3C-E5DB-1E25-65D2-84A528396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8380" y="11986260"/>
          <a:ext cx="5334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723900</xdr:colOff>
      <xdr:row>55</xdr:row>
      <xdr:rowOff>160020</xdr:rowOff>
    </xdr:from>
    <xdr:to>
      <xdr:col>7</xdr:col>
      <xdr:colOff>7620</xdr:colOff>
      <xdr:row>57</xdr:row>
      <xdr:rowOff>45720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40D895B5-8016-5E29-A776-87BED9E47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6940" y="12123420"/>
          <a:ext cx="16002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807720</xdr:colOff>
      <xdr:row>54</xdr:row>
      <xdr:rowOff>7620</xdr:rowOff>
    </xdr:from>
    <xdr:to>
      <xdr:col>7</xdr:col>
      <xdr:colOff>15240</xdr:colOff>
      <xdr:row>55</xdr:row>
      <xdr:rowOff>91440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1598CE20-2D43-0B98-E3CD-377AAE49E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0760" y="11788140"/>
          <a:ext cx="8382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22860</xdr:colOff>
      <xdr:row>58</xdr:row>
      <xdr:rowOff>19050</xdr:rowOff>
    </xdr:from>
    <xdr:ext cx="572528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5" name="CaixaDeTexto 54">
              <a:extLst>
                <a:ext uri="{FF2B5EF4-FFF2-40B4-BE49-F238E27FC236}">
                  <a16:creationId xmlns:a16="http://schemas.microsoft.com/office/drawing/2014/main" id="{8EDFA5EE-75FF-61E3-ABDE-39035C252AA3}"/>
                </a:ext>
              </a:extLst>
            </xdr:cNvPr>
            <xdr:cNvSpPr txBox="1"/>
          </xdr:nvSpPr>
          <xdr:spPr>
            <a:xfrm>
              <a:off x="5295900" y="12531090"/>
              <a:ext cx="572528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e>
                      <m:sub>
                        <m:r>
                          <a:rPr lang="pt-BR" sz="11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𝑑</m:t>
                        </m:r>
                      </m:sub>
                    </m:sSub>
                    <m:r>
                      <a:rPr lang="pt-BR" sz="1100" b="0" i="1" kern="12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=2</m:t>
                    </m:r>
                    <m:sSub>
                      <m:sSubPr>
                        <m:ctrlPr>
                          <a:rPr lang="pt-BR" sz="11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e>
                      <m:sub>
                        <m:r>
                          <a:rPr lang="pt-BR" sz="11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𝑟</m:t>
                        </m:r>
                      </m:sub>
                    </m:sSub>
                  </m:oMath>
                </m:oMathPara>
              </a14:m>
              <a:endParaRPr lang="pt-BR" sz="1100" b="0" kern="1200"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55" name="CaixaDeTexto 54">
              <a:extLst>
                <a:ext uri="{FF2B5EF4-FFF2-40B4-BE49-F238E27FC236}">
                  <a16:creationId xmlns:a16="http://schemas.microsoft.com/office/drawing/2014/main" id="{8EDFA5EE-75FF-61E3-ABDE-39035C252AA3}"/>
                </a:ext>
              </a:extLst>
            </xdr:cNvPr>
            <xdr:cNvSpPr txBox="1"/>
          </xdr:nvSpPr>
          <xdr:spPr>
            <a:xfrm>
              <a:off x="5295900" y="12531090"/>
              <a:ext cx="572528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r>
                <a:rPr lang="pt-BR" sz="1100" b="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_𝑑=2𝜎_𝑟</a:t>
              </a:r>
              <a:endParaRPr lang="pt-BR" sz="1100" b="0" kern="1200"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11</xdr:col>
      <xdr:colOff>215265</xdr:colOff>
      <xdr:row>53</xdr:row>
      <xdr:rowOff>165735</xdr:rowOff>
    </xdr:from>
    <xdr:ext cx="186526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9" name="CaixaDeTexto 58">
              <a:extLst>
                <a:ext uri="{FF2B5EF4-FFF2-40B4-BE49-F238E27FC236}">
                  <a16:creationId xmlns:a16="http://schemas.microsoft.com/office/drawing/2014/main" id="{D443CCFF-FDDF-4B40-AC6F-2B29178900E3}"/>
                </a:ext>
              </a:extLst>
            </xdr:cNvPr>
            <xdr:cNvSpPr txBox="1"/>
          </xdr:nvSpPr>
          <xdr:spPr>
            <a:xfrm>
              <a:off x="10311765" y="10233660"/>
              <a:ext cx="186526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1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1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𝝈</m:t>
                        </m:r>
                      </m:e>
                      <m:sub>
                        <m:r>
                          <a:rPr lang="pt-BR" sz="1100" b="1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𝒅</m:t>
                        </m:r>
                      </m:sub>
                    </m:sSub>
                  </m:oMath>
                </m:oMathPara>
              </a14:m>
              <a:endParaRPr lang="pt-BR" sz="1100" b="1" kern="1200"/>
            </a:p>
          </xdr:txBody>
        </xdr:sp>
      </mc:Choice>
      <mc:Fallback>
        <xdr:sp macro="" textlink="">
          <xdr:nvSpPr>
            <xdr:cNvPr id="59" name="CaixaDeTexto 58">
              <a:extLst>
                <a:ext uri="{FF2B5EF4-FFF2-40B4-BE49-F238E27FC236}">
                  <a16:creationId xmlns:a16="http://schemas.microsoft.com/office/drawing/2014/main" id="{D443CCFF-FDDF-4B40-AC6F-2B29178900E3}"/>
                </a:ext>
              </a:extLst>
            </xdr:cNvPr>
            <xdr:cNvSpPr txBox="1"/>
          </xdr:nvSpPr>
          <xdr:spPr>
            <a:xfrm>
              <a:off x="10311765" y="10233660"/>
              <a:ext cx="186526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1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𝝈_𝒅</a:t>
              </a:r>
              <a:endParaRPr lang="pt-BR" sz="1100" b="1" kern="1200"/>
            </a:p>
          </xdr:txBody>
        </xdr:sp>
      </mc:Fallback>
    </mc:AlternateContent>
    <xdr:clientData/>
  </xdr:oneCellAnchor>
  <xdr:twoCellAnchor>
    <xdr:from>
      <xdr:col>8</xdr:col>
      <xdr:colOff>219075</xdr:colOff>
      <xdr:row>73</xdr:row>
      <xdr:rowOff>142875</xdr:rowOff>
    </xdr:from>
    <xdr:to>
      <xdr:col>9</xdr:col>
      <xdr:colOff>222885</xdr:colOff>
      <xdr:row>75</xdr:row>
      <xdr:rowOff>68580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9CE09920-8AAD-0EB1-16A7-B35EEDD38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13925550"/>
          <a:ext cx="74676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68580</xdr:colOff>
      <xdr:row>62</xdr:row>
      <xdr:rowOff>83820</xdr:rowOff>
    </xdr:from>
    <xdr:to>
      <xdr:col>2</xdr:col>
      <xdr:colOff>845820</xdr:colOff>
      <xdr:row>64</xdr:row>
      <xdr:rowOff>137160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BE4D1260-DD43-9335-EB2D-2A48444C6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12428220"/>
          <a:ext cx="777240" cy="434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106680</xdr:colOff>
      <xdr:row>66</xdr:row>
      <xdr:rowOff>68580</xdr:rowOff>
    </xdr:from>
    <xdr:to>
      <xdr:col>2</xdr:col>
      <xdr:colOff>883920</xdr:colOff>
      <xdr:row>68</xdr:row>
      <xdr:rowOff>129540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7E6CD46C-C08A-9AE7-3C73-4B493330C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" y="11670030"/>
          <a:ext cx="777240" cy="43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342900</xdr:colOff>
      <xdr:row>1</xdr:row>
      <xdr:rowOff>129540</xdr:rowOff>
    </xdr:from>
    <xdr:to>
      <xdr:col>20</xdr:col>
      <xdr:colOff>276834</xdr:colOff>
      <xdr:row>8</xdr:row>
      <xdr:rowOff>83820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F023798F-E246-FFB7-DF1A-34E5FA67F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23820" y="320040"/>
          <a:ext cx="1762734" cy="1280160"/>
        </a:xfrm>
        <a:prstGeom prst="rect">
          <a:avLst/>
        </a:prstGeom>
      </xdr:spPr>
    </xdr:pic>
    <xdr:clientData/>
  </xdr:twoCellAnchor>
  <xdr:twoCellAnchor editAs="oneCell">
    <xdr:from>
      <xdr:col>17</xdr:col>
      <xdr:colOff>548641</xdr:colOff>
      <xdr:row>10</xdr:row>
      <xdr:rowOff>99060</xdr:rowOff>
    </xdr:from>
    <xdr:to>
      <xdr:col>20</xdr:col>
      <xdr:colOff>566613</xdr:colOff>
      <xdr:row>16</xdr:row>
      <xdr:rowOff>112649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7BAD3BEA-99D9-54F3-53C1-3A5138213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29561" y="1935480"/>
          <a:ext cx="1846772" cy="1148969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533401</xdr:colOff>
      <xdr:row>19</xdr:row>
      <xdr:rowOff>16763</xdr:rowOff>
    </xdr:from>
    <xdr:to>
      <xdr:col>20</xdr:col>
      <xdr:colOff>297180</xdr:colOff>
      <xdr:row>24</xdr:row>
      <xdr:rowOff>125983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C3B30B83-91BC-295F-5F4B-AF38A67C7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14321" y="3499103"/>
          <a:ext cx="1592579" cy="1061720"/>
        </a:xfrm>
        <a:prstGeom prst="rect">
          <a:avLst/>
        </a:prstGeom>
      </xdr:spPr>
    </xdr:pic>
    <xdr:clientData/>
  </xdr:twoCellAnchor>
  <xdr:twoCellAnchor editAs="oneCell">
    <xdr:from>
      <xdr:col>17</xdr:col>
      <xdr:colOff>502921</xdr:colOff>
      <xdr:row>36</xdr:row>
      <xdr:rowOff>22859</xdr:rowOff>
    </xdr:from>
    <xdr:to>
      <xdr:col>20</xdr:col>
      <xdr:colOff>190358</xdr:colOff>
      <xdr:row>41</xdr:row>
      <xdr:rowOff>41778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0ED39D4C-41F6-A39D-B941-336B65D9B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83841" y="6614159"/>
          <a:ext cx="1516237" cy="971419"/>
        </a:xfrm>
        <a:prstGeom prst="rect">
          <a:avLst/>
        </a:prstGeom>
      </xdr:spPr>
    </xdr:pic>
    <xdr:clientData/>
  </xdr:twoCellAnchor>
  <xdr:twoCellAnchor editAs="oneCell">
    <xdr:from>
      <xdr:col>17</xdr:col>
      <xdr:colOff>403862</xdr:colOff>
      <xdr:row>27</xdr:row>
      <xdr:rowOff>60960</xdr:rowOff>
    </xdr:from>
    <xdr:to>
      <xdr:col>20</xdr:col>
      <xdr:colOff>524755</xdr:colOff>
      <xdr:row>33</xdr:row>
      <xdr:rowOff>36436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20BA362A-FE19-6ED7-6E12-EEDB82DE7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384782" y="5006340"/>
          <a:ext cx="1949693" cy="1118476"/>
        </a:xfrm>
        <a:prstGeom prst="rect">
          <a:avLst/>
        </a:prstGeom>
      </xdr:spPr>
    </xdr:pic>
    <xdr:clientData/>
  </xdr:twoCellAnchor>
  <xdr:twoCellAnchor editAs="oneCell">
    <xdr:from>
      <xdr:col>17</xdr:col>
      <xdr:colOff>441960</xdr:colOff>
      <xdr:row>43</xdr:row>
      <xdr:rowOff>45720</xdr:rowOff>
    </xdr:from>
    <xdr:to>
      <xdr:col>20</xdr:col>
      <xdr:colOff>457571</xdr:colOff>
      <xdr:row>49</xdr:row>
      <xdr:rowOff>19260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B489E15A-BBF7-D44C-A7CD-2B0BF5BBA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422880" y="7924800"/>
          <a:ext cx="1844411" cy="1116540"/>
        </a:xfrm>
        <a:prstGeom prst="rect">
          <a:avLst/>
        </a:prstGeom>
      </xdr:spPr>
    </xdr:pic>
    <xdr:clientData/>
  </xdr:twoCellAnchor>
  <xdr:twoCellAnchor editAs="oneCell">
    <xdr:from>
      <xdr:col>17</xdr:col>
      <xdr:colOff>502920</xdr:colOff>
      <xdr:row>50</xdr:row>
      <xdr:rowOff>167640</xdr:rowOff>
    </xdr:from>
    <xdr:to>
      <xdr:col>20</xdr:col>
      <xdr:colOff>379573</xdr:colOff>
      <xdr:row>56</xdr:row>
      <xdr:rowOff>104986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91C87726-C734-B48B-CFF5-CF118563A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483840" y="9326880"/>
          <a:ext cx="1705453" cy="1080346"/>
        </a:xfrm>
        <a:prstGeom prst="rect">
          <a:avLst/>
        </a:prstGeom>
      </xdr:spPr>
    </xdr:pic>
    <xdr:clientData/>
  </xdr:twoCellAnchor>
  <xdr:twoCellAnchor editAs="oneCell">
    <xdr:from>
      <xdr:col>17</xdr:col>
      <xdr:colOff>373381</xdr:colOff>
      <xdr:row>58</xdr:row>
      <xdr:rowOff>175260</xdr:rowOff>
    </xdr:from>
    <xdr:to>
      <xdr:col>20</xdr:col>
      <xdr:colOff>530811</xdr:colOff>
      <xdr:row>64</xdr:row>
      <xdr:rowOff>148800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B5C15EF2-F43E-60CE-184D-646B35DBB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354301" y="10797540"/>
          <a:ext cx="1986230" cy="1108920"/>
        </a:xfrm>
        <a:prstGeom prst="rect">
          <a:avLst/>
        </a:prstGeom>
      </xdr:spPr>
    </xdr:pic>
    <xdr:clientData/>
  </xdr:twoCellAnchor>
  <xdr:twoCellAnchor editAs="oneCell">
    <xdr:from>
      <xdr:col>17</xdr:col>
      <xdr:colOff>358140</xdr:colOff>
      <xdr:row>67</xdr:row>
      <xdr:rowOff>60960</xdr:rowOff>
    </xdr:from>
    <xdr:to>
      <xdr:col>21</xdr:col>
      <xdr:colOff>2449</xdr:colOff>
      <xdr:row>73</xdr:row>
      <xdr:rowOff>144982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11CE4693-3E03-35C2-91A9-0E4BE7903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339060" y="12329160"/>
          <a:ext cx="2082709" cy="1227022"/>
        </a:xfrm>
        <a:prstGeom prst="rect">
          <a:avLst/>
        </a:prstGeom>
      </xdr:spPr>
    </xdr:pic>
    <xdr:clientData/>
  </xdr:twoCellAnchor>
  <xdr:twoCellAnchor editAs="oneCell">
    <xdr:from>
      <xdr:col>17</xdr:col>
      <xdr:colOff>472441</xdr:colOff>
      <xdr:row>75</xdr:row>
      <xdr:rowOff>151442</xdr:rowOff>
    </xdr:from>
    <xdr:to>
      <xdr:col>20</xdr:col>
      <xdr:colOff>502920</xdr:colOff>
      <xdr:row>82</xdr:row>
      <xdr:rowOff>17353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D63A95CF-ECC0-B7C1-1602-9F2390F7C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453361" y="14286542"/>
          <a:ext cx="1859279" cy="1191791"/>
        </a:xfrm>
        <a:prstGeom prst="rect">
          <a:avLst/>
        </a:prstGeom>
      </xdr:spPr>
    </xdr:pic>
    <xdr:clientData/>
  </xdr:twoCellAnchor>
  <xdr:twoCellAnchor editAs="oneCell">
    <xdr:from>
      <xdr:col>26</xdr:col>
      <xdr:colOff>144781</xdr:colOff>
      <xdr:row>3</xdr:row>
      <xdr:rowOff>22860</xdr:rowOff>
    </xdr:from>
    <xdr:to>
      <xdr:col>28</xdr:col>
      <xdr:colOff>536861</xdr:colOff>
      <xdr:row>8</xdr:row>
      <xdr:rowOff>89741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A39B138C-34A4-DCB0-7A82-7EC123A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810221" y="586740"/>
          <a:ext cx="1611280" cy="1019381"/>
        </a:xfrm>
        <a:prstGeom prst="rect">
          <a:avLst/>
        </a:prstGeom>
      </xdr:spPr>
    </xdr:pic>
    <xdr:clientData/>
  </xdr:twoCellAnchor>
  <xdr:twoCellAnchor editAs="oneCell">
    <xdr:from>
      <xdr:col>26</xdr:col>
      <xdr:colOff>45721</xdr:colOff>
      <xdr:row>9</xdr:row>
      <xdr:rowOff>160020</xdr:rowOff>
    </xdr:from>
    <xdr:to>
      <xdr:col>28</xdr:col>
      <xdr:colOff>537839</xdr:colOff>
      <xdr:row>15</xdr:row>
      <xdr:rowOff>91647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2E977242-ED8D-40B9-E871-D9F4A4B4C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513041" y="1813560"/>
          <a:ext cx="1711318" cy="1059387"/>
        </a:xfrm>
        <a:prstGeom prst="rect">
          <a:avLst/>
        </a:prstGeom>
      </xdr:spPr>
    </xdr:pic>
    <xdr:clientData/>
  </xdr:twoCellAnchor>
  <xdr:twoCellAnchor editAs="oneCell">
    <xdr:from>
      <xdr:col>26</xdr:col>
      <xdr:colOff>228601</xdr:colOff>
      <xdr:row>17</xdr:row>
      <xdr:rowOff>98919</xdr:rowOff>
    </xdr:from>
    <xdr:to>
      <xdr:col>28</xdr:col>
      <xdr:colOff>464820</xdr:colOff>
      <xdr:row>22</xdr:row>
      <xdr:rowOff>72595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EE6574AC-DECD-4399-60EC-C9A6CD473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695921" y="3215499"/>
          <a:ext cx="1455419" cy="926176"/>
        </a:xfrm>
        <a:prstGeom prst="rect">
          <a:avLst/>
        </a:prstGeom>
      </xdr:spPr>
    </xdr:pic>
    <xdr:clientData/>
  </xdr:twoCellAnchor>
  <xdr:twoCellAnchor editAs="oneCell">
    <xdr:from>
      <xdr:col>26</xdr:col>
      <xdr:colOff>152400</xdr:colOff>
      <xdr:row>25</xdr:row>
      <xdr:rowOff>53340</xdr:rowOff>
    </xdr:from>
    <xdr:to>
      <xdr:col>28</xdr:col>
      <xdr:colOff>538447</xdr:colOff>
      <xdr:row>30</xdr:row>
      <xdr:rowOff>72599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6DE0388C-BCCB-8F16-9CF7-7921096D6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619720" y="4632960"/>
          <a:ext cx="1605247" cy="971759"/>
        </a:xfrm>
        <a:prstGeom prst="rect">
          <a:avLst/>
        </a:prstGeom>
      </xdr:spPr>
    </xdr:pic>
    <xdr:clientData/>
  </xdr:twoCellAnchor>
  <xdr:twoCellAnchor editAs="oneCell">
    <xdr:from>
      <xdr:col>26</xdr:col>
      <xdr:colOff>342901</xdr:colOff>
      <xdr:row>32</xdr:row>
      <xdr:rowOff>167640</xdr:rowOff>
    </xdr:from>
    <xdr:to>
      <xdr:col>28</xdr:col>
      <xdr:colOff>576489</xdr:colOff>
      <xdr:row>37</xdr:row>
      <xdr:rowOff>59250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73D4279A-6BAC-BDC3-E7BD-D16128C87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810221" y="6027420"/>
          <a:ext cx="1452788" cy="844110"/>
        </a:xfrm>
        <a:prstGeom prst="rect">
          <a:avLst/>
        </a:prstGeom>
      </xdr:spPr>
    </xdr:pic>
    <xdr:clientData/>
  </xdr:twoCellAnchor>
  <xdr:twoCellAnchor editAs="oneCell">
    <xdr:from>
      <xdr:col>26</xdr:col>
      <xdr:colOff>266701</xdr:colOff>
      <xdr:row>40</xdr:row>
      <xdr:rowOff>129540</xdr:rowOff>
    </xdr:from>
    <xdr:to>
      <xdr:col>28</xdr:col>
      <xdr:colOff>563880</xdr:colOff>
      <xdr:row>46</xdr:row>
      <xdr:rowOff>34500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46C9E80E-09B9-D810-9199-EED7D89B1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932141" y="7711440"/>
          <a:ext cx="1516379" cy="1047960"/>
        </a:xfrm>
        <a:prstGeom prst="rect">
          <a:avLst/>
        </a:prstGeom>
      </xdr:spPr>
    </xdr:pic>
    <xdr:clientData/>
  </xdr:twoCellAnchor>
  <xdr:twoCellAnchor editAs="oneCell">
    <xdr:from>
      <xdr:col>26</xdr:col>
      <xdr:colOff>114301</xdr:colOff>
      <xdr:row>49</xdr:row>
      <xdr:rowOff>14927</xdr:rowOff>
    </xdr:from>
    <xdr:to>
      <xdr:col>28</xdr:col>
      <xdr:colOff>548810</xdr:colOff>
      <xdr:row>54</xdr:row>
      <xdr:rowOff>53340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7F545A5A-E73F-2222-3CAC-0667E5997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779741" y="9311327"/>
          <a:ext cx="1653709" cy="990913"/>
        </a:xfrm>
        <a:prstGeom prst="rect">
          <a:avLst/>
        </a:prstGeom>
      </xdr:spPr>
    </xdr:pic>
    <xdr:clientData/>
  </xdr:twoCellAnchor>
  <xdr:twoCellAnchor editAs="oneCell">
    <xdr:from>
      <xdr:col>25</xdr:col>
      <xdr:colOff>472441</xdr:colOff>
      <xdr:row>56</xdr:row>
      <xdr:rowOff>167640</xdr:rowOff>
    </xdr:from>
    <xdr:to>
      <xdr:col>28</xdr:col>
      <xdr:colOff>360310</xdr:colOff>
      <xdr:row>62</xdr:row>
      <xdr:rowOff>116089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86A4622B-8B2A-9F11-3636-BE426A433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528281" y="10797540"/>
          <a:ext cx="1716669" cy="1083829"/>
        </a:xfrm>
        <a:prstGeom prst="rect">
          <a:avLst/>
        </a:prstGeom>
      </xdr:spPr>
    </xdr:pic>
    <xdr:clientData/>
  </xdr:twoCellAnchor>
  <xdr:twoCellAnchor editAs="oneCell">
    <xdr:from>
      <xdr:col>25</xdr:col>
      <xdr:colOff>327660</xdr:colOff>
      <xdr:row>74</xdr:row>
      <xdr:rowOff>22860</xdr:rowOff>
    </xdr:from>
    <xdr:to>
      <xdr:col>28</xdr:col>
      <xdr:colOff>507671</xdr:colOff>
      <xdr:row>80</xdr:row>
      <xdr:rowOff>53547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C43AF764-E392-FD9A-1072-940EB3BBC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0383500" y="14066520"/>
          <a:ext cx="2008811" cy="1173687"/>
        </a:xfrm>
        <a:prstGeom prst="rect">
          <a:avLst/>
        </a:prstGeom>
      </xdr:spPr>
    </xdr:pic>
    <xdr:clientData/>
  </xdr:twoCellAnchor>
  <xdr:twoCellAnchor editAs="oneCell">
    <xdr:from>
      <xdr:col>25</xdr:col>
      <xdr:colOff>502921</xdr:colOff>
      <xdr:row>65</xdr:row>
      <xdr:rowOff>7620</xdr:rowOff>
    </xdr:from>
    <xdr:to>
      <xdr:col>28</xdr:col>
      <xdr:colOff>501317</xdr:colOff>
      <xdr:row>70</xdr:row>
      <xdr:rowOff>76200</xdr:rowOff>
    </xdr:to>
    <xdr:pic>
      <xdr:nvPicPr>
        <xdr:cNvPr id="59" name="Imagem 58">
          <a:extLst>
            <a:ext uri="{FF2B5EF4-FFF2-40B4-BE49-F238E27FC236}">
              <a16:creationId xmlns:a16="http://schemas.microsoft.com/office/drawing/2014/main" id="{31F495F0-91D1-54E8-0481-5E29B3C1A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558761" y="12344400"/>
          <a:ext cx="1827196" cy="102108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17</xdr:row>
      <xdr:rowOff>137160</xdr:rowOff>
    </xdr:from>
    <xdr:to>
      <xdr:col>5</xdr:col>
      <xdr:colOff>687070</xdr:colOff>
      <xdr:row>24</xdr:row>
      <xdr:rowOff>163830</xdr:rowOff>
    </xdr:to>
    <xdr:pic>
      <xdr:nvPicPr>
        <xdr:cNvPr id="60" name="Imagem 59" descr="Tabela&#10;&#10;Descrição gerada automaticamente">
          <a:extLst>
            <a:ext uri="{FF2B5EF4-FFF2-40B4-BE49-F238E27FC236}">
              <a16:creationId xmlns:a16="http://schemas.microsoft.com/office/drawing/2014/main" id="{6E86709A-C872-0630-066B-AF2C5BEB85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t="11480" b="-2552"/>
        <a:stretch/>
      </xdr:blipFill>
      <xdr:spPr bwMode="auto">
        <a:xfrm>
          <a:off x="1790700" y="3345180"/>
          <a:ext cx="3323590" cy="13601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7</xdr:col>
      <xdr:colOff>60960</xdr:colOff>
      <xdr:row>19</xdr:row>
      <xdr:rowOff>68580</xdr:rowOff>
    </xdr:from>
    <xdr:to>
      <xdr:col>7</xdr:col>
      <xdr:colOff>716280</xdr:colOff>
      <xdr:row>20</xdr:row>
      <xdr:rowOff>144780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FA58D96F-6C13-08D3-0916-B1985045D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3540" y="3657600"/>
          <a:ext cx="65532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22860</xdr:colOff>
      <xdr:row>20</xdr:row>
      <xdr:rowOff>76200</xdr:rowOff>
    </xdr:from>
    <xdr:to>
      <xdr:col>7</xdr:col>
      <xdr:colOff>731520</xdr:colOff>
      <xdr:row>21</xdr:row>
      <xdr:rowOff>152400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E4790070-274B-D3F6-5FBE-797DBB5B2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5440" y="3855720"/>
          <a:ext cx="70866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22860</xdr:colOff>
      <xdr:row>21</xdr:row>
      <xdr:rowOff>129540</xdr:rowOff>
    </xdr:from>
    <xdr:to>
      <xdr:col>7</xdr:col>
      <xdr:colOff>731520</xdr:colOff>
      <xdr:row>23</xdr:row>
      <xdr:rowOff>15240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4904CF22-914C-56A6-6ABA-1A1E8D1F9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5440" y="4099560"/>
          <a:ext cx="70866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769620</xdr:colOff>
      <xdr:row>22</xdr:row>
      <xdr:rowOff>167640</xdr:rowOff>
    </xdr:from>
    <xdr:to>
      <xdr:col>7</xdr:col>
      <xdr:colOff>762000</xdr:colOff>
      <xdr:row>24</xdr:row>
      <xdr:rowOff>53340</xdr:rowOff>
    </xdr:to>
    <xdr:pic>
      <xdr:nvPicPr>
        <xdr:cNvPr id="5120" name="Imagem 5119">
          <a:extLst>
            <a:ext uri="{FF2B5EF4-FFF2-40B4-BE49-F238E27FC236}">
              <a16:creationId xmlns:a16="http://schemas.microsoft.com/office/drawing/2014/main" id="{81A9EA83-7C60-9775-6686-7DC61A767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4328160"/>
          <a:ext cx="86868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45720</xdr:colOff>
      <xdr:row>41</xdr:row>
      <xdr:rowOff>38100</xdr:rowOff>
    </xdr:from>
    <xdr:to>
      <xdr:col>4</xdr:col>
      <xdr:colOff>541020</xdr:colOff>
      <xdr:row>43</xdr:row>
      <xdr:rowOff>91440</xdr:rowOff>
    </xdr:to>
    <xdr:pic>
      <xdr:nvPicPr>
        <xdr:cNvPr id="5121" name="Imagem 5120">
          <a:extLst>
            <a:ext uri="{FF2B5EF4-FFF2-40B4-BE49-F238E27FC236}">
              <a16:creationId xmlns:a16="http://schemas.microsoft.com/office/drawing/2014/main" id="{3D9E67CB-1952-6D83-1F15-6C76D9DF3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4520" y="7810500"/>
          <a:ext cx="1668780" cy="434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56</xdr:row>
      <xdr:rowOff>0</xdr:rowOff>
    </xdr:from>
    <xdr:to>
      <xdr:col>7</xdr:col>
      <xdr:colOff>891540</xdr:colOff>
      <xdr:row>57</xdr:row>
      <xdr:rowOff>99060</xdr:rowOff>
    </xdr:to>
    <xdr:pic>
      <xdr:nvPicPr>
        <xdr:cNvPr id="5125" name="Imagem 5124">
          <a:extLst>
            <a:ext uri="{FF2B5EF4-FFF2-40B4-BE49-F238E27FC236}">
              <a16:creationId xmlns:a16="http://schemas.microsoft.com/office/drawing/2014/main" id="{2CEA6E74-C582-53B8-7644-73EA58503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8820" y="10629900"/>
          <a:ext cx="89154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-1</xdr:rowOff>
    </xdr:from>
    <xdr:to>
      <xdr:col>27</xdr:col>
      <xdr:colOff>177800</xdr:colOff>
      <xdr:row>84</xdr:row>
      <xdr:rowOff>139276</xdr:rowOff>
    </xdr:to>
    <xdr:sp macro="" textlink="">
      <xdr:nvSpPr>
        <xdr:cNvPr id="7171" name="AutoShape 3">
          <a:extLst>
            <a:ext uri="{FF2B5EF4-FFF2-40B4-BE49-F238E27FC236}">
              <a16:creationId xmlns:a16="http://schemas.microsoft.com/office/drawing/2014/main" id="{626B3C70-C68E-C5DE-DCD8-A24976219E70}"/>
            </a:ext>
          </a:extLst>
        </xdr:cNvPr>
        <xdr:cNvSpPr>
          <a:spLocks noChangeAspect="1" noChangeArrowheads="1"/>
        </xdr:cNvSpPr>
      </xdr:nvSpPr>
      <xdr:spPr bwMode="auto">
        <a:xfrm>
          <a:off x="10871200" y="2311399"/>
          <a:ext cx="12979400" cy="12763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A5A1-CF0C-47D9-A275-6714717EAA13}">
  <dimension ref="B1:AC50"/>
  <sheetViews>
    <sheetView showGridLines="0" tabSelected="1" zoomScale="62" zoomScaleNormal="62" workbookViewId="0">
      <selection activeCell="T29" sqref="T29"/>
    </sheetView>
  </sheetViews>
  <sheetFormatPr defaultRowHeight="14.4" x14ac:dyDescent="0.3"/>
  <cols>
    <col min="4" max="4" width="17.109375" customWidth="1"/>
    <col min="6" max="6" width="16.109375" customWidth="1"/>
    <col min="7" max="7" width="12.77734375" customWidth="1"/>
    <col min="8" max="8" width="14" customWidth="1"/>
    <col min="9" max="9" width="17.109375" bestFit="1" customWidth="1"/>
    <col min="14" max="14" width="25" customWidth="1"/>
  </cols>
  <sheetData>
    <row r="1" spans="2:29" ht="39" customHeight="1" thickBot="1" x14ac:dyDescent="0.4">
      <c r="C1" s="100" t="s">
        <v>229</v>
      </c>
    </row>
    <row r="2" spans="2:29" x14ac:dyDescent="0.3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2:29" x14ac:dyDescent="0.3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2:29" x14ac:dyDescent="0.3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</row>
    <row r="5" spans="2:29" x14ac:dyDescent="0.3">
      <c r="B5" s="13"/>
      <c r="C5" s="117" t="s">
        <v>249</v>
      </c>
      <c r="D5" s="117"/>
      <c r="E5" s="117"/>
      <c r="F5" s="117"/>
      <c r="G5" s="117"/>
      <c r="H5" s="117"/>
      <c r="I5" s="14"/>
      <c r="J5" s="14"/>
      <c r="K5" s="14"/>
      <c r="L5" s="14"/>
      <c r="M5" s="14"/>
      <c r="N5" s="15"/>
    </row>
    <row r="6" spans="2:29" ht="15" hidden="1" thickBot="1" x14ac:dyDescent="0.3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2:29" ht="15" thickBot="1" x14ac:dyDescent="0.35">
      <c r="B7" s="13"/>
      <c r="D7" s="118" t="s">
        <v>68</v>
      </c>
      <c r="E7" s="115"/>
      <c r="F7" s="79"/>
      <c r="G7" s="14"/>
      <c r="H7" s="14"/>
      <c r="I7" s="14"/>
      <c r="J7" s="14"/>
      <c r="K7" s="14"/>
      <c r="L7" s="14"/>
      <c r="M7" s="14"/>
      <c r="N7" s="15"/>
    </row>
    <row r="8" spans="2:29" hidden="1" x14ac:dyDescent="0.3"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</row>
    <row r="9" spans="2:29" x14ac:dyDescent="0.3">
      <c r="B9" s="13"/>
      <c r="C9" s="116" t="s">
        <v>250</v>
      </c>
      <c r="D9" s="116"/>
      <c r="E9" s="116"/>
      <c r="F9" s="116"/>
      <c r="G9" s="116"/>
      <c r="H9" s="116"/>
      <c r="I9" s="116"/>
      <c r="J9" s="116"/>
      <c r="K9" s="14"/>
      <c r="L9" s="14"/>
      <c r="M9" s="14"/>
      <c r="N9" s="15"/>
      <c r="V9" s="116"/>
      <c r="W9" s="116"/>
      <c r="X9" s="116"/>
      <c r="Y9" s="116"/>
      <c r="Z9" s="116"/>
      <c r="AA9" s="116"/>
      <c r="AB9" s="116"/>
      <c r="AC9" s="116"/>
    </row>
    <row r="10" spans="2:29" ht="15" thickBot="1" x14ac:dyDescent="0.35">
      <c r="B10" s="13"/>
      <c r="C10" s="116"/>
      <c r="D10" s="116"/>
      <c r="E10" s="116"/>
      <c r="F10" s="116"/>
      <c r="G10" s="116"/>
      <c r="H10" s="116"/>
      <c r="I10" s="116"/>
      <c r="J10" s="116"/>
      <c r="K10" s="14"/>
      <c r="L10" s="14"/>
      <c r="M10" s="14"/>
      <c r="N10" s="15"/>
      <c r="V10" s="116"/>
      <c r="W10" s="116"/>
      <c r="X10" s="116"/>
      <c r="Y10" s="116"/>
      <c r="Z10" s="116"/>
      <c r="AA10" s="116"/>
      <c r="AB10" s="116"/>
      <c r="AC10" s="116"/>
    </row>
    <row r="11" spans="2:29" ht="15" hidden="1" thickBot="1" x14ac:dyDescent="0.35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/>
      <c r="V11" s="14"/>
      <c r="W11" s="14"/>
      <c r="X11" s="14"/>
      <c r="Y11" s="14"/>
      <c r="Z11" s="14"/>
      <c r="AA11" s="14"/>
      <c r="AB11" s="14"/>
      <c r="AC11" s="14"/>
    </row>
    <row r="12" spans="2:29" ht="15" thickBot="1" x14ac:dyDescent="0.35">
      <c r="B12" s="13"/>
      <c r="D12" s="118" t="s">
        <v>251</v>
      </c>
      <c r="E12" s="115"/>
      <c r="F12" s="79"/>
      <c r="G12" s="14" t="s">
        <v>264</v>
      </c>
      <c r="H12" s="14"/>
      <c r="I12" s="14"/>
      <c r="J12" s="14"/>
      <c r="K12" s="14"/>
      <c r="L12" s="14"/>
      <c r="M12" s="14"/>
      <c r="N12" s="15"/>
      <c r="Z12" s="14"/>
      <c r="AA12" s="14"/>
      <c r="AB12" s="14"/>
      <c r="AC12" s="14"/>
    </row>
    <row r="13" spans="2:29" ht="14.4" hidden="1" customHeight="1" x14ac:dyDescent="0.3"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/>
    </row>
    <row r="14" spans="2:29" x14ac:dyDescent="0.3">
      <c r="B14" s="13"/>
      <c r="C14" s="116" t="s">
        <v>253</v>
      </c>
      <c r="D14" s="116"/>
      <c r="E14" s="116"/>
      <c r="F14" s="116"/>
      <c r="G14" s="116"/>
      <c r="H14" s="116"/>
      <c r="I14" s="116"/>
      <c r="J14" s="116"/>
      <c r="K14" s="14"/>
      <c r="L14" s="14"/>
      <c r="M14" s="14"/>
      <c r="N14" s="15"/>
    </row>
    <row r="15" spans="2:29" ht="15" thickBot="1" x14ac:dyDescent="0.35">
      <c r="B15" s="13"/>
      <c r="C15" s="116"/>
      <c r="D15" s="116"/>
      <c r="E15" s="116"/>
      <c r="F15" s="116"/>
      <c r="G15" s="116"/>
      <c r="H15" s="116"/>
      <c r="I15" s="116"/>
      <c r="J15" s="116"/>
      <c r="K15" s="14"/>
      <c r="L15" s="14"/>
      <c r="M15" s="14"/>
      <c r="N15" s="15"/>
    </row>
    <row r="16" spans="2:29" ht="15" hidden="1" thickBot="1" x14ac:dyDescent="0.35">
      <c r="B16" s="13"/>
      <c r="C16" s="14"/>
      <c r="D16" s="16"/>
      <c r="E16" s="16"/>
      <c r="F16" s="14"/>
      <c r="G16" s="14"/>
      <c r="H16" s="14"/>
      <c r="I16" s="14"/>
      <c r="J16" s="14"/>
      <c r="K16" s="14"/>
      <c r="L16" s="14"/>
      <c r="M16" s="14"/>
      <c r="N16" s="15"/>
    </row>
    <row r="17" spans="2:14" ht="15" thickBot="1" x14ac:dyDescent="0.35">
      <c r="B17" s="13"/>
      <c r="C17" s="14"/>
      <c r="D17" s="114" t="s">
        <v>252</v>
      </c>
      <c r="E17" s="115"/>
      <c r="F17" s="110">
        <f>SUM('4. FORÇA DE CORTE'!D26:J26)</f>
        <v>0</v>
      </c>
      <c r="G17" s="14"/>
      <c r="H17" s="14"/>
      <c r="I17" s="14"/>
      <c r="J17" s="14"/>
      <c r="K17" s="14"/>
      <c r="L17" s="14"/>
      <c r="M17" s="14"/>
      <c r="N17" s="15"/>
    </row>
    <row r="18" spans="2:14" hidden="1" x14ac:dyDescent="0.3">
      <c r="B18" s="13"/>
      <c r="C18" s="116" t="s">
        <v>255</v>
      </c>
      <c r="D18" s="116"/>
      <c r="E18" s="116"/>
      <c r="F18" s="116"/>
      <c r="G18" s="116"/>
      <c r="H18" s="116"/>
      <c r="I18" s="116"/>
      <c r="J18" s="116"/>
      <c r="K18" s="14"/>
      <c r="L18" s="14"/>
      <c r="M18" s="14"/>
      <c r="N18" s="15"/>
    </row>
    <row r="19" spans="2:14" x14ac:dyDescent="0.3">
      <c r="B19" s="13"/>
      <c r="C19" s="116"/>
      <c r="D19" s="116"/>
      <c r="E19" s="116"/>
      <c r="F19" s="116"/>
      <c r="G19" s="116"/>
      <c r="H19" s="116"/>
      <c r="I19" s="116"/>
      <c r="J19" s="116"/>
      <c r="K19" s="14"/>
      <c r="L19" s="14"/>
      <c r="M19" s="14"/>
      <c r="N19" s="15"/>
    </row>
    <row r="20" spans="2:14" x14ac:dyDescent="0.3">
      <c r="B20" s="13"/>
      <c r="C20" s="116"/>
      <c r="D20" s="116"/>
      <c r="E20" s="116"/>
      <c r="F20" s="116"/>
      <c r="G20" s="116"/>
      <c r="H20" s="116"/>
      <c r="I20" s="116"/>
      <c r="J20" s="116"/>
      <c r="K20" s="14"/>
      <c r="L20" s="14"/>
      <c r="M20" s="14"/>
      <c r="N20" s="15"/>
    </row>
    <row r="21" spans="2:14" ht="15" hidden="1" thickBot="1" x14ac:dyDescent="0.35">
      <c r="B21" s="13"/>
      <c r="C21" s="14"/>
      <c r="D21" s="16"/>
      <c r="E21" s="16"/>
      <c r="F21" s="14"/>
      <c r="G21" s="14"/>
      <c r="H21" s="14"/>
      <c r="I21" s="14"/>
      <c r="J21" s="14"/>
      <c r="K21" s="14"/>
      <c r="L21" s="14"/>
      <c r="M21" s="14"/>
      <c r="N21" s="15"/>
    </row>
    <row r="22" spans="2:14" ht="14.4" customHeight="1" thickBot="1" x14ac:dyDescent="0.35">
      <c r="B22" s="13"/>
      <c r="C22" s="14"/>
      <c r="D22" s="114" t="s">
        <v>254</v>
      </c>
      <c r="E22" s="115"/>
      <c r="F22" s="110">
        <f>SUM('5. FERRAMENTAS DE DOBRA'!F72:L72)</f>
        <v>0</v>
      </c>
      <c r="G22" s="14"/>
      <c r="H22" s="14"/>
      <c r="I22" s="14"/>
      <c r="J22" s="14"/>
      <c r="K22" s="14"/>
      <c r="L22" s="14"/>
      <c r="M22" s="14"/>
      <c r="N22" s="15"/>
    </row>
    <row r="23" spans="2:14" hidden="1" x14ac:dyDescent="0.3">
      <c r="B23" s="13"/>
      <c r="C23" s="116" t="s">
        <v>256</v>
      </c>
      <c r="D23" s="116"/>
      <c r="E23" s="116"/>
      <c r="F23" s="116"/>
      <c r="G23" s="116"/>
      <c r="H23" s="116"/>
      <c r="I23" s="116"/>
      <c r="J23" s="116"/>
      <c r="K23" s="14"/>
      <c r="L23" s="14"/>
      <c r="M23" s="14"/>
      <c r="N23" s="15"/>
    </row>
    <row r="24" spans="2:14" x14ac:dyDescent="0.3">
      <c r="B24" s="13"/>
      <c r="C24" s="116"/>
      <c r="D24" s="116"/>
      <c r="E24" s="116"/>
      <c r="F24" s="116"/>
      <c r="G24" s="116"/>
      <c r="H24" s="116"/>
      <c r="I24" s="116"/>
      <c r="J24" s="116"/>
      <c r="K24" s="14"/>
      <c r="L24" s="14"/>
      <c r="M24" s="14"/>
      <c r="N24" s="15"/>
    </row>
    <row r="25" spans="2:14" x14ac:dyDescent="0.3">
      <c r="B25" s="13"/>
      <c r="C25" s="116"/>
      <c r="D25" s="116"/>
      <c r="E25" s="116"/>
      <c r="F25" s="116"/>
      <c r="G25" s="116"/>
      <c r="H25" s="116"/>
      <c r="I25" s="116"/>
      <c r="J25" s="116"/>
      <c r="K25" s="14"/>
      <c r="L25" s="14"/>
      <c r="M25" s="14"/>
      <c r="N25" s="15"/>
    </row>
    <row r="26" spans="2:14" ht="15" hidden="1" thickBot="1" x14ac:dyDescent="0.35">
      <c r="B26" s="13"/>
      <c r="C26" s="14"/>
      <c r="D26" s="16"/>
      <c r="E26" s="16"/>
      <c r="F26" s="14"/>
      <c r="G26" s="14"/>
      <c r="H26" s="14"/>
      <c r="I26" s="14"/>
      <c r="J26" s="14"/>
      <c r="K26" s="14"/>
      <c r="L26" s="14"/>
      <c r="M26" s="14"/>
      <c r="N26" s="15"/>
    </row>
    <row r="27" spans="2:14" ht="15" thickBot="1" x14ac:dyDescent="0.35">
      <c r="B27" s="13"/>
      <c r="C27" s="14"/>
      <c r="D27" s="114" t="s">
        <v>257</v>
      </c>
      <c r="E27" s="115"/>
      <c r="F27" s="110">
        <f>SUM('6. FORÇA DE REPUXO'!E55:K55)</f>
        <v>0</v>
      </c>
      <c r="G27" s="14"/>
      <c r="H27" s="14"/>
      <c r="I27" s="14"/>
      <c r="J27" s="14"/>
      <c r="K27" s="14"/>
      <c r="L27" s="14"/>
      <c r="M27" s="14"/>
      <c r="N27" s="15"/>
    </row>
    <row r="28" spans="2:14" hidden="1" x14ac:dyDescent="0.3">
      <c r="B28" s="13"/>
      <c r="C28" s="116" t="s">
        <v>259</v>
      </c>
      <c r="D28" s="116"/>
      <c r="E28" s="116"/>
      <c r="F28" s="116"/>
      <c r="G28" s="116"/>
      <c r="H28" s="116"/>
      <c r="I28" s="116"/>
      <c r="J28" s="116"/>
      <c r="K28" s="14"/>
      <c r="L28" s="14"/>
      <c r="M28" s="14"/>
      <c r="N28" s="15"/>
    </row>
    <row r="29" spans="2:14" x14ac:dyDescent="0.3">
      <c r="B29" s="13"/>
      <c r="C29" s="116"/>
      <c r="D29" s="116"/>
      <c r="E29" s="116"/>
      <c r="F29" s="116"/>
      <c r="G29" s="116"/>
      <c r="H29" s="116"/>
      <c r="I29" s="116"/>
      <c r="J29" s="116"/>
      <c r="K29" s="14"/>
      <c r="L29" s="14"/>
      <c r="M29" s="14"/>
      <c r="N29" s="15"/>
    </row>
    <row r="30" spans="2:14" x14ac:dyDescent="0.3">
      <c r="B30" s="13"/>
      <c r="C30" s="116"/>
      <c r="D30" s="116"/>
      <c r="E30" s="116"/>
      <c r="F30" s="116"/>
      <c r="G30" s="116"/>
      <c r="H30" s="116"/>
      <c r="I30" s="116"/>
      <c r="J30" s="116"/>
      <c r="K30" s="14"/>
      <c r="L30" s="14"/>
      <c r="M30" s="14"/>
      <c r="N30" s="15"/>
    </row>
    <row r="31" spans="2:14" ht="14.4" hidden="1" customHeight="1" thickBot="1" x14ac:dyDescent="0.35">
      <c r="B31" s="13"/>
      <c r="C31" s="14"/>
      <c r="D31" s="16"/>
      <c r="E31" s="16"/>
      <c r="F31" s="14"/>
      <c r="G31" s="14"/>
      <c r="H31" s="14"/>
      <c r="I31" s="14"/>
      <c r="J31" s="14"/>
      <c r="K31" s="14"/>
      <c r="L31" s="14"/>
      <c r="M31" s="14"/>
      <c r="N31" s="15"/>
    </row>
    <row r="32" spans="2:14" ht="15" thickBot="1" x14ac:dyDescent="0.35">
      <c r="B32" s="13"/>
      <c r="C32" s="14"/>
      <c r="D32" s="114" t="s">
        <v>258</v>
      </c>
      <c r="E32" s="115"/>
      <c r="F32" s="110">
        <f>SUM('4. FORÇA DE CORTE'!D33:J33,'5. FERRAMENTAS DE DOBRA'!F78:L78,'6. FORÇA DE REPUXO'!E60:K60)</f>
        <v>0</v>
      </c>
      <c r="G32" s="14"/>
      <c r="H32" s="14"/>
      <c r="I32" s="14"/>
      <c r="J32" s="14"/>
      <c r="K32" s="14"/>
      <c r="L32" s="14"/>
      <c r="M32" s="14"/>
      <c r="N32" s="15"/>
    </row>
    <row r="33" spans="2:14" hidden="1" x14ac:dyDescent="0.3">
      <c r="B33" s="13"/>
      <c r="C33" s="116" t="s">
        <v>260</v>
      </c>
      <c r="D33" s="116"/>
      <c r="E33" s="116"/>
      <c r="F33" s="116"/>
      <c r="G33" s="116"/>
      <c r="H33" s="116"/>
      <c r="I33" s="116"/>
      <c r="J33" s="116"/>
      <c r="K33" s="14"/>
      <c r="L33" s="14"/>
      <c r="M33" s="14"/>
      <c r="N33" s="15"/>
    </row>
    <row r="34" spans="2:14" x14ac:dyDescent="0.3">
      <c r="B34" s="13"/>
      <c r="C34" s="116"/>
      <c r="D34" s="116"/>
      <c r="E34" s="116"/>
      <c r="F34" s="116"/>
      <c r="G34" s="116"/>
      <c r="H34" s="116"/>
      <c r="I34" s="116"/>
      <c r="J34" s="116"/>
      <c r="K34" s="14"/>
      <c r="L34" s="14"/>
      <c r="M34" s="14"/>
      <c r="N34" s="15"/>
    </row>
    <row r="35" spans="2:14" x14ac:dyDescent="0.3">
      <c r="B35" s="13"/>
      <c r="C35" s="116"/>
      <c r="D35" s="116"/>
      <c r="E35" s="116"/>
      <c r="F35" s="116"/>
      <c r="G35" s="116"/>
      <c r="H35" s="116"/>
      <c r="I35" s="116"/>
      <c r="J35" s="116"/>
      <c r="K35" s="14"/>
      <c r="L35" s="14"/>
      <c r="M35" s="14"/>
      <c r="N35" s="15"/>
    </row>
    <row r="36" spans="2:14" ht="15" hidden="1" thickBot="1" x14ac:dyDescent="0.35">
      <c r="B36" s="13"/>
      <c r="C36" s="14"/>
      <c r="D36" s="16"/>
      <c r="E36" s="16"/>
      <c r="F36" s="14"/>
      <c r="G36" s="14"/>
      <c r="H36" s="14"/>
      <c r="I36" s="14"/>
      <c r="J36" s="14"/>
      <c r="K36" s="14"/>
      <c r="L36" s="14"/>
      <c r="M36" s="14"/>
      <c r="N36" s="15"/>
    </row>
    <row r="37" spans="2:14" ht="14.4" customHeight="1" thickBot="1" x14ac:dyDescent="0.35">
      <c r="B37" s="13"/>
      <c r="C37" s="14"/>
      <c r="D37" s="114" t="s">
        <v>261</v>
      </c>
      <c r="E37" s="115"/>
      <c r="F37" s="110">
        <f>SUM('4. FORÇA DE CORTE'!D39:J39,'5. FERRAMENTAS DE DOBRA'!F83:L83,'6. FORÇA DE REPUXO'!E65:K65)*0.1</f>
        <v>0</v>
      </c>
      <c r="G37" s="14"/>
      <c r="H37" s="14"/>
      <c r="I37" s="14"/>
      <c r="J37" s="14"/>
      <c r="K37" s="14"/>
      <c r="L37" s="14"/>
      <c r="M37" s="14"/>
      <c r="N37" s="15"/>
    </row>
    <row r="38" spans="2:14" hidden="1" x14ac:dyDescent="0.3">
      <c r="B38" s="13"/>
      <c r="C38" s="116" t="s">
        <v>262</v>
      </c>
      <c r="D38" s="116"/>
      <c r="E38" s="116"/>
      <c r="F38" s="116"/>
      <c r="G38" s="116"/>
      <c r="H38" s="116"/>
      <c r="I38" s="116"/>
      <c r="J38" s="116"/>
      <c r="K38" s="14"/>
      <c r="L38" s="14"/>
      <c r="M38" s="14"/>
      <c r="N38" s="15"/>
    </row>
    <row r="39" spans="2:14" x14ac:dyDescent="0.3">
      <c r="B39" s="13"/>
      <c r="C39" s="116"/>
      <c r="D39" s="116"/>
      <c r="E39" s="116"/>
      <c r="F39" s="116"/>
      <c r="G39" s="116"/>
      <c r="H39" s="116"/>
      <c r="I39" s="116"/>
      <c r="J39" s="116"/>
      <c r="K39" s="14"/>
      <c r="L39" s="14"/>
      <c r="M39" s="14"/>
      <c r="N39" s="15"/>
    </row>
    <row r="40" spans="2:14" x14ac:dyDescent="0.3">
      <c r="B40" s="13"/>
      <c r="C40" s="116"/>
      <c r="D40" s="116"/>
      <c r="E40" s="116"/>
      <c r="F40" s="116"/>
      <c r="G40" s="116"/>
      <c r="H40" s="116"/>
      <c r="I40" s="116"/>
      <c r="J40" s="116"/>
      <c r="K40" s="14"/>
      <c r="L40" s="14"/>
      <c r="M40" s="14"/>
      <c r="N40" s="15"/>
    </row>
    <row r="41" spans="2:14" ht="15" hidden="1" thickBot="1" x14ac:dyDescent="0.35">
      <c r="B41" s="13"/>
      <c r="C41" s="14"/>
      <c r="D41" s="16"/>
      <c r="E41" s="16"/>
      <c r="F41" s="14"/>
      <c r="G41" s="14"/>
      <c r="H41" s="14"/>
      <c r="I41" s="14"/>
      <c r="J41" s="14"/>
      <c r="K41" s="14"/>
      <c r="L41" s="14"/>
      <c r="M41" s="14"/>
      <c r="N41" s="15"/>
    </row>
    <row r="42" spans="2:14" ht="15" thickBot="1" x14ac:dyDescent="0.35">
      <c r="B42" s="13"/>
      <c r="C42" s="14"/>
      <c r="D42" s="114" t="s">
        <v>261</v>
      </c>
      <c r="E42" s="115"/>
      <c r="F42" s="110">
        <f>F37+10*F37</f>
        <v>0</v>
      </c>
      <c r="G42" s="14"/>
      <c r="H42" s="14"/>
      <c r="I42" s="14"/>
      <c r="J42" s="14"/>
      <c r="K42" s="14"/>
      <c r="L42" s="14"/>
      <c r="M42" s="14"/>
      <c r="N42" s="15"/>
    </row>
    <row r="43" spans="2:14" hidden="1" x14ac:dyDescent="0.3">
      <c r="B43" s="13"/>
      <c r="C43" s="116" t="s">
        <v>265</v>
      </c>
      <c r="D43" s="116"/>
      <c r="E43" s="116"/>
      <c r="F43" s="116"/>
      <c r="G43" s="116"/>
      <c r="H43" s="116"/>
      <c r="I43" s="116"/>
      <c r="J43" s="116"/>
      <c r="K43" s="14"/>
      <c r="L43" s="14"/>
      <c r="M43" s="14"/>
      <c r="N43" s="15"/>
    </row>
    <row r="44" spans="2:14" x14ac:dyDescent="0.3">
      <c r="B44" s="13"/>
      <c r="C44" s="116"/>
      <c r="D44" s="116"/>
      <c r="E44" s="116"/>
      <c r="F44" s="116"/>
      <c r="G44" s="116"/>
      <c r="H44" s="116"/>
      <c r="I44" s="116"/>
      <c r="J44" s="116"/>
      <c r="K44" s="14"/>
      <c r="L44" s="14"/>
      <c r="M44" s="14"/>
      <c r="N44" s="15"/>
    </row>
    <row r="45" spans="2:14" ht="14.4" customHeight="1" thickBot="1" x14ac:dyDescent="0.35">
      <c r="B45" s="13"/>
      <c r="C45" s="116"/>
      <c r="D45" s="116"/>
      <c r="E45" s="116"/>
      <c r="F45" s="116"/>
      <c r="G45" s="116"/>
      <c r="H45" s="116"/>
      <c r="I45" s="116"/>
      <c r="J45" s="116"/>
      <c r="K45" s="14"/>
      <c r="L45" s="14"/>
      <c r="M45" s="14"/>
      <c r="N45" s="15"/>
    </row>
    <row r="46" spans="2:14" ht="15" hidden="1" thickBot="1" x14ac:dyDescent="0.35">
      <c r="B46" s="13"/>
      <c r="C46" s="14"/>
      <c r="D46" s="16"/>
      <c r="E46" s="16"/>
      <c r="F46" s="14"/>
      <c r="G46" s="14"/>
      <c r="H46" s="14"/>
      <c r="I46" s="14"/>
      <c r="J46" s="14"/>
      <c r="K46" s="14"/>
      <c r="L46" s="14"/>
      <c r="M46" s="14"/>
      <c r="N46" s="15"/>
    </row>
    <row r="47" spans="2:14" ht="15" thickBot="1" x14ac:dyDescent="0.35">
      <c r="B47" s="13"/>
      <c r="C47" s="14"/>
      <c r="D47" s="114" t="s">
        <v>263</v>
      </c>
      <c r="E47" s="115"/>
      <c r="F47" s="111">
        <f>IFERROR(VLOOKUP(F12,'7. MATERIAIS'!B:E,5,0)*7850*'1. DEFINIÇÕES DE TIRA'!M50*'1. DEFINIÇÕES DE TIRA'!M51*'1. DEFINIÇÕES DE TIRA'!I72/1000000000*F7/ROUNDDOWN('1. DEFINIÇÕES DE TIRA'!M51/('1. DEFINIÇÕES DE TIRA'!I13+'1. DEFINIÇÕES DE TIRA'!I14),0),0)</f>
        <v>0</v>
      </c>
      <c r="G47" s="14"/>
      <c r="H47" s="14"/>
      <c r="I47" s="14"/>
      <c r="J47" s="14"/>
      <c r="K47" s="14"/>
      <c r="L47" s="14"/>
      <c r="M47" s="14"/>
      <c r="N47" s="15"/>
    </row>
    <row r="48" spans="2:14" ht="14.4" customHeight="1" x14ac:dyDescent="0.3">
      <c r="B48" s="13"/>
      <c r="C48" s="14"/>
      <c r="D48" s="16"/>
      <c r="E48" s="16"/>
      <c r="F48" s="14"/>
      <c r="G48" s="14"/>
      <c r="H48" s="14"/>
      <c r="I48" s="14"/>
      <c r="J48" s="14"/>
      <c r="K48" s="14"/>
      <c r="L48" s="14"/>
      <c r="M48" s="14"/>
      <c r="N48" s="15"/>
    </row>
    <row r="49" spans="2:14" ht="14.4" customHeight="1" x14ac:dyDescent="0.3">
      <c r="B49" s="13"/>
      <c r="C49" s="14"/>
      <c r="D49" s="16"/>
      <c r="E49" s="16"/>
      <c r="F49" s="14"/>
      <c r="G49" s="14"/>
      <c r="H49" s="14"/>
      <c r="I49" s="14"/>
      <c r="J49" s="14"/>
      <c r="K49" s="14"/>
      <c r="L49" s="14"/>
      <c r="M49" s="14"/>
      <c r="N49" s="15"/>
    </row>
    <row r="50" spans="2:14" ht="14.4" customHeight="1" thickBot="1" x14ac:dyDescent="0.3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2"/>
    </row>
  </sheetData>
  <mergeCells count="19">
    <mergeCell ref="V9:AC10"/>
    <mergeCell ref="C43:J45"/>
    <mergeCell ref="D47:E47"/>
    <mergeCell ref="D12:E12"/>
    <mergeCell ref="C14:J15"/>
    <mergeCell ref="D17:E17"/>
    <mergeCell ref="C18:J20"/>
    <mergeCell ref="D22:E22"/>
    <mergeCell ref="C23:J25"/>
    <mergeCell ref="D27:E27"/>
    <mergeCell ref="C28:J30"/>
    <mergeCell ref="D32:E32"/>
    <mergeCell ref="C33:J35"/>
    <mergeCell ref="D37:E37"/>
    <mergeCell ref="D42:E42"/>
    <mergeCell ref="C38:J40"/>
    <mergeCell ref="C5:H5"/>
    <mergeCell ref="D7:E7"/>
    <mergeCell ref="C9:J10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354E0B-AE30-40DC-BA01-7EE77F76DB8D}">
          <x14:formula1>
            <xm:f>'7. MATERIAIS'!$A$2:$A$1048576</xm:f>
          </x14:formula1>
          <xm:sqref>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E5820-4F64-45E7-9B4F-16E84C29E04A}">
  <dimension ref="B1:N75"/>
  <sheetViews>
    <sheetView showGridLines="0" topLeftCell="A27" zoomScale="60" zoomScaleNormal="60" workbookViewId="0">
      <selection activeCell="M51" sqref="M51"/>
    </sheetView>
  </sheetViews>
  <sheetFormatPr defaultRowHeight="14.4" x14ac:dyDescent="0.3"/>
  <cols>
    <col min="4" max="4" width="17.109375" customWidth="1"/>
    <col min="6" max="6" width="16.109375" customWidth="1"/>
    <col min="7" max="7" width="12.77734375" customWidth="1"/>
    <col min="8" max="8" width="14" customWidth="1"/>
    <col min="9" max="9" width="17.109375" bestFit="1" customWidth="1"/>
    <col min="14" max="14" width="38.77734375" customWidth="1"/>
  </cols>
  <sheetData>
    <row r="1" spans="2:14" ht="39" customHeight="1" thickBot="1" x14ac:dyDescent="0.4">
      <c r="C1" s="100" t="s">
        <v>229</v>
      </c>
    </row>
    <row r="2" spans="2:14" x14ac:dyDescent="0.3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2:14" x14ac:dyDescent="0.3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2:14" x14ac:dyDescent="0.3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</row>
    <row r="5" spans="2:14" x14ac:dyDescent="0.3">
      <c r="B5" s="13"/>
      <c r="C5" s="117" t="s">
        <v>45</v>
      </c>
      <c r="D5" s="117"/>
      <c r="E5" s="117"/>
      <c r="F5" s="117"/>
      <c r="G5" s="117"/>
      <c r="H5" s="117"/>
      <c r="I5" s="14"/>
      <c r="J5" s="14"/>
      <c r="K5" s="14"/>
      <c r="L5" s="14"/>
      <c r="M5" s="14"/>
      <c r="N5" s="15"/>
    </row>
    <row r="6" spans="2:14" ht="15" thickBot="1" x14ac:dyDescent="0.3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2:14" ht="15" thickBot="1" x14ac:dyDescent="0.35">
      <c r="B7" s="13"/>
      <c r="D7" s="118" t="s">
        <v>68</v>
      </c>
      <c r="E7" s="115"/>
      <c r="F7" s="71">
        <f>'0. PROJETO GERAL'!F7</f>
        <v>0</v>
      </c>
      <c r="G7" s="14"/>
      <c r="H7" s="14"/>
      <c r="I7" s="14"/>
      <c r="J7" s="14"/>
      <c r="K7" s="14"/>
      <c r="L7" s="14"/>
      <c r="M7" s="14"/>
      <c r="N7" s="15"/>
    </row>
    <row r="8" spans="2:14" x14ac:dyDescent="0.3"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</row>
    <row r="9" spans="2:14" x14ac:dyDescent="0.3">
      <c r="B9" s="13"/>
      <c r="C9" s="116" t="s">
        <v>55</v>
      </c>
      <c r="D9" s="116"/>
      <c r="E9" s="116"/>
      <c r="F9" s="116"/>
      <c r="G9" s="116"/>
      <c r="H9" s="116"/>
      <c r="I9" s="116"/>
      <c r="J9" s="116"/>
      <c r="K9" s="14"/>
      <c r="L9" s="14"/>
      <c r="M9" s="14"/>
      <c r="N9" s="15"/>
    </row>
    <row r="10" spans="2:14" x14ac:dyDescent="0.3">
      <c r="B10" s="13"/>
      <c r="C10" s="116"/>
      <c r="D10" s="116"/>
      <c r="E10" s="116"/>
      <c r="F10" s="116"/>
      <c r="G10" s="116"/>
      <c r="H10" s="116"/>
      <c r="I10" s="116"/>
      <c r="J10" s="116"/>
      <c r="K10" s="14"/>
      <c r="L10" s="14"/>
      <c r="M10" s="14"/>
      <c r="N10" s="15"/>
    </row>
    <row r="11" spans="2:14" ht="15" thickBot="1" x14ac:dyDescent="0.35">
      <c r="B11" s="13"/>
      <c r="C11" s="14"/>
      <c r="D11" s="14"/>
      <c r="E11" s="14"/>
      <c r="F11" s="14"/>
      <c r="G11" s="14"/>
      <c r="I11" s="14"/>
      <c r="J11" s="14"/>
      <c r="K11" s="14"/>
      <c r="L11" s="14"/>
      <c r="M11" s="14"/>
      <c r="N11" s="15"/>
    </row>
    <row r="12" spans="2:14" ht="15" thickBot="1" x14ac:dyDescent="0.35">
      <c r="B12" s="13"/>
      <c r="C12" s="14"/>
      <c r="D12" s="14"/>
      <c r="E12" s="14"/>
      <c r="F12" s="14"/>
      <c r="G12" s="14"/>
      <c r="H12" s="80" t="s">
        <v>48</v>
      </c>
      <c r="I12" s="79"/>
      <c r="J12" s="14"/>
      <c r="K12" s="14"/>
      <c r="L12" s="14"/>
      <c r="M12" s="14"/>
      <c r="N12" s="15"/>
    </row>
    <row r="13" spans="2:14" ht="15" thickBot="1" x14ac:dyDescent="0.35">
      <c r="B13" s="13"/>
      <c r="C13" s="14"/>
      <c r="D13" s="14"/>
      <c r="E13" s="14"/>
      <c r="F13" s="14"/>
      <c r="G13" s="14"/>
      <c r="H13" s="80" t="s">
        <v>49</v>
      </c>
      <c r="I13" s="79"/>
      <c r="J13" s="14"/>
      <c r="K13" s="14"/>
      <c r="L13" s="14"/>
      <c r="M13" s="14"/>
      <c r="N13" s="15"/>
    </row>
    <row r="14" spans="2:14" ht="15" thickBot="1" x14ac:dyDescent="0.35">
      <c r="B14" s="13"/>
      <c r="C14" s="14"/>
      <c r="D14" s="16"/>
      <c r="E14" s="16"/>
      <c r="F14" s="14"/>
      <c r="G14" s="14"/>
      <c r="H14" s="80" t="s">
        <v>50</v>
      </c>
      <c r="I14" s="79"/>
      <c r="J14" s="14"/>
      <c r="K14" s="14"/>
      <c r="L14" s="14"/>
      <c r="M14" s="14"/>
      <c r="N14" s="15"/>
    </row>
    <row r="15" spans="2:14" ht="15" thickBot="1" x14ac:dyDescent="0.35">
      <c r="B15" s="13"/>
      <c r="C15" s="14"/>
      <c r="D15" s="16"/>
      <c r="E15" s="16"/>
      <c r="F15" s="17"/>
      <c r="G15" s="14"/>
      <c r="H15" s="80" t="s">
        <v>51</v>
      </c>
      <c r="I15" s="79"/>
      <c r="J15" s="14"/>
      <c r="K15" s="14"/>
      <c r="L15" s="14"/>
      <c r="M15" s="14"/>
      <c r="N15" s="15"/>
    </row>
    <row r="16" spans="2:14" ht="15" thickBot="1" x14ac:dyDescent="0.35">
      <c r="B16" s="13"/>
      <c r="C16" s="14"/>
      <c r="D16" s="16"/>
      <c r="E16" s="18"/>
      <c r="F16" s="14"/>
      <c r="G16" s="14"/>
      <c r="H16" s="80" t="s">
        <v>52</v>
      </c>
      <c r="I16" s="79"/>
      <c r="J16" s="14" t="s">
        <v>56</v>
      </c>
      <c r="K16" s="14"/>
      <c r="L16" s="14"/>
      <c r="M16" s="14"/>
      <c r="N16" s="15"/>
    </row>
    <row r="17" spans="2:14" ht="15" thickBot="1" x14ac:dyDescent="0.35">
      <c r="B17" s="13"/>
      <c r="C17" s="14"/>
      <c r="D17" s="16"/>
      <c r="E17" s="16"/>
      <c r="F17" s="14"/>
      <c r="G17" s="14"/>
      <c r="H17" s="80" t="s">
        <v>53</v>
      </c>
      <c r="I17" s="79"/>
      <c r="J17" s="14" t="s">
        <v>60</v>
      </c>
      <c r="K17" s="14"/>
      <c r="L17" s="14"/>
      <c r="M17" s="14"/>
      <c r="N17" s="15"/>
    </row>
    <row r="18" spans="2:14" ht="15" thickBot="1" x14ac:dyDescent="0.35">
      <c r="B18" s="13"/>
      <c r="C18" s="14"/>
      <c r="D18" s="16"/>
      <c r="E18" s="16"/>
      <c r="F18" s="14"/>
      <c r="G18" s="14"/>
      <c r="H18" s="80" t="s">
        <v>54</v>
      </c>
      <c r="I18" s="79"/>
      <c r="J18" s="14" t="s">
        <v>60</v>
      </c>
      <c r="K18" s="14"/>
      <c r="L18" s="14"/>
      <c r="M18" s="14"/>
      <c r="N18" s="15"/>
    </row>
    <row r="19" spans="2:14" x14ac:dyDescent="0.3">
      <c r="B19" s="13"/>
      <c r="C19" s="14"/>
      <c r="D19" s="16"/>
      <c r="E19" s="16"/>
      <c r="F19" s="14"/>
      <c r="G19" s="14"/>
      <c r="H19" s="14"/>
      <c r="I19" s="14"/>
      <c r="J19" s="14"/>
      <c r="K19" s="14"/>
      <c r="L19" s="14"/>
      <c r="M19" s="14"/>
      <c r="N19" s="15"/>
    </row>
    <row r="20" spans="2:14" x14ac:dyDescent="0.3">
      <c r="B20" s="13"/>
      <c r="C20" s="14"/>
      <c r="D20" s="16"/>
      <c r="E20" s="18"/>
      <c r="F20" s="14"/>
      <c r="G20" s="14"/>
      <c r="H20" s="14"/>
      <c r="I20" s="14"/>
      <c r="J20" s="14"/>
      <c r="K20" s="14"/>
      <c r="L20" s="14"/>
      <c r="M20" s="14"/>
      <c r="N20" s="15"/>
    </row>
    <row r="21" spans="2:14" ht="15" thickBot="1" x14ac:dyDescent="0.35">
      <c r="B21" s="13"/>
      <c r="C21" s="14"/>
      <c r="D21" s="16"/>
      <c r="E21" s="18"/>
      <c r="F21" s="14"/>
      <c r="G21" s="14"/>
      <c r="H21" s="14"/>
      <c r="I21" s="14"/>
      <c r="J21" s="14"/>
      <c r="K21" s="14"/>
      <c r="L21" s="14"/>
      <c r="M21" s="14"/>
      <c r="N21" s="15"/>
    </row>
    <row r="22" spans="2:14" x14ac:dyDescent="0.3">
      <c r="B22" s="13"/>
      <c r="C22" s="120" t="s">
        <v>44</v>
      </c>
      <c r="D22" s="30" t="s">
        <v>0</v>
      </c>
      <c r="E22" s="30" t="s">
        <v>1</v>
      </c>
      <c r="F22" s="30" t="s">
        <v>2</v>
      </c>
      <c r="G22" s="30" t="s">
        <v>3</v>
      </c>
      <c r="H22" s="30" t="s">
        <v>4</v>
      </c>
      <c r="I22" s="30" t="s">
        <v>5</v>
      </c>
      <c r="J22" s="31" t="s">
        <v>6</v>
      </c>
      <c r="K22" s="14"/>
      <c r="L22" s="14"/>
      <c r="M22" s="14"/>
      <c r="N22" s="15"/>
    </row>
    <row r="23" spans="2:14" ht="57.6" x14ac:dyDescent="0.3">
      <c r="B23" s="13"/>
      <c r="C23" s="121"/>
      <c r="D23" s="24" t="s">
        <v>7</v>
      </c>
      <c r="E23" s="25" t="s">
        <v>8</v>
      </c>
      <c r="F23" s="25" t="s">
        <v>9</v>
      </c>
      <c r="G23" s="25" t="s">
        <v>10</v>
      </c>
      <c r="H23" s="25" t="s">
        <v>11</v>
      </c>
      <c r="I23" s="25" t="s">
        <v>28</v>
      </c>
      <c r="J23" s="26" t="s">
        <v>12</v>
      </c>
      <c r="K23" s="14"/>
      <c r="L23" s="14"/>
      <c r="M23" s="14"/>
      <c r="N23" s="15"/>
    </row>
    <row r="24" spans="2:14" ht="57.6" x14ac:dyDescent="0.3">
      <c r="B24" s="13"/>
      <c r="C24" s="121"/>
      <c r="D24" s="24" t="s">
        <v>13</v>
      </c>
      <c r="E24" s="25" t="s">
        <v>8</v>
      </c>
      <c r="F24" s="25" t="s">
        <v>14</v>
      </c>
      <c r="G24" s="25" t="s">
        <v>29</v>
      </c>
      <c r="H24" s="25" t="s">
        <v>15</v>
      </c>
      <c r="I24" s="25" t="s">
        <v>30</v>
      </c>
      <c r="J24" s="26" t="s">
        <v>31</v>
      </c>
      <c r="K24" s="14"/>
      <c r="L24" s="14"/>
      <c r="M24" s="14"/>
      <c r="N24" s="15"/>
    </row>
    <row r="25" spans="2:14" ht="57.6" x14ac:dyDescent="0.3">
      <c r="B25" s="13"/>
      <c r="C25" s="121"/>
      <c r="D25" s="24" t="s">
        <v>17</v>
      </c>
      <c r="E25" s="25" t="s">
        <v>8</v>
      </c>
      <c r="F25" s="25" t="s">
        <v>18</v>
      </c>
      <c r="G25" s="25" t="s">
        <v>19</v>
      </c>
      <c r="H25" s="25" t="s">
        <v>32</v>
      </c>
      <c r="I25" s="25" t="s">
        <v>33</v>
      </c>
      <c r="J25" s="26" t="s">
        <v>16</v>
      </c>
      <c r="K25" s="14"/>
      <c r="L25" s="14"/>
      <c r="M25" s="14"/>
      <c r="N25" s="15"/>
    </row>
    <row r="26" spans="2:14" ht="57.6" x14ac:dyDescent="0.3">
      <c r="B26" s="13"/>
      <c r="C26" s="121"/>
      <c r="D26" s="24" t="s">
        <v>20</v>
      </c>
      <c r="E26" s="25" t="s">
        <v>8</v>
      </c>
      <c r="F26" s="25" t="s">
        <v>21</v>
      </c>
      <c r="G26" s="25" t="s">
        <v>34</v>
      </c>
      <c r="H26" s="25" t="s">
        <v>35</v>
      </c>
      <c r="I26" s="25" t="s">
        <v>36</v>
      </c>
      <c r="J26" s="26" t="s">
        <v>37</v>
      </c>
      <c r="K26" s="14"/>
      <c r="L26" s="14"/>
      <c r="M26" s="14"/>
      <c r="N26" s="15"/>
    </row>
    <row r="27" spans="2:14" ht="57.6" x14ac:dyDescent="0.3">
      <c r="B27" s="13"/>
      <c r="C27" s="121"/>
      <c r="D27" s="24" t="s">
        <v>22</v>
      </c>
      <c r="E27" s="25" t="s">
        <v>8</v>
      </c>
      <c r="F27" s="25" t="s">
        <v>23</v>
      </c>
      <c r="G27" s="25" t="s">
        <v>40</v>
      </c>
      <c r="H27" s="25" t="s">
        <v>41</v>
      </c>
      <c r="I27" s="25" t="s">
        <v>42</v>
      </c>
      <c r="J27" s="26" t="s">
        <v>38</v>
      </c>
      <c r="K27" s="14"/>
      <c r="L27" s="14"/>
      <c r="M27" s="14"/>
      <c r="N27" s="15"/>
    </row>
    <row r="28" spans="2:14" ht="58.2" thickBot="1" x14ac:dyDescent="0.35">
      <c r="B28" s="13"/>
      <c r="C28" s="122"/>
      <c r="D28" s="27" t="s">
        <v>24</v>
      </c>
      <c r="E28" s="28" t="s">
        <v>8</v>
      </c>
      <c r="F28" s="28" t="s">
        <v>25</v>
      </c>
      <c r="G28" s="28" t="s">
        <v>26</v>
      </c>
      <c r="H28" s="28" t="s">
        <v>27</v>
      </c>
      <c r="I28" s="28" t="s">
        <v>43</v>
      </c>
      <c r="J28" s="29" t="s">
        <v>39</v>
      </c>
      <c r="K28" s="14"/>
      <c r="L28" s="14"/>
      <c r="M28" s="14"/>
      <c r="N28" s="15"/>
    </row>
    <row r="29" spans="2:14" x14ac:dyDescent="0.3"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"/>
    </row>
    <row r="30" spans="2:14" x14ac:dyDescent="0.3">
      <c r="B30" s="13"/>
      <c r="C30" s="14"/>
      <c r="D30" s="116" t="s">
        <v>59</v>
      </c>
      <c r="E30" s="116"/>
      <c r="F30" s="116"/>
      <c r="G30" s="116"/>
      <c r="H30" s="116"/>
      <c r="I30" s="116"/>
      <c r="J30" s="116"/>
      <c r="K30" s="116"/>
      <c r="L30" s="116"/>
      <c r="M30" s="116"/>
      <c r="N30" s="15"/>
    </row>
    <row r="31" spans="2:14" ht="15" thickBot="1" x14ac:dyDescent="0.35">
      <c r="B31" s="13"/>
      <c r="C31" s="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5"/>
    </row>
    <row r="32" spans="2:14" ht="15" thickBot="1" x14ac:dyDescent="0.35">
      <c r="B32" s="13"/>
      <c r="C32" s="14"/>
      <c r="D32" s="118" t="s">
        <v>69</v>
      </c>
      <c r="E32" s="119"/>
      <c r="F32" s="119"/>
      <c r="G32" s="34">
        <f>IFERROR(I12+I15+IF(I17&gt;0,I17+I14+I16+SQRT((I17+I18/2)^2-(I14/2)^2),I15+I16),"")</f>
        <v>0</v>
      </c>
      <c r="I32" s="14"/>
      <c r="J32" s="14"/>
      <c r="K32" s="14"/>
      <c r="L32" s="14"/>
      <c r="M32" s="14"/>
      <c r="N32" s="15"/>
    </row>
    <row r="33" spans="2:14" ht="15" thickBot="1" x14ac:dyDescent="0.35">
      <c r="B33" s="13"/>
      <c r="C33" s="14"/>
      <c r="D33" s="118" t="s">
        <v>70</v>
      </c>
      <c r="E33" s="119"/>
      <c r="F33" s="119"/>
      <c r="G33" s="34">
        <f>IFERROR(ROUNDDOWN(1000/G32,0) * ROUNDDOWN(1000/(I13+I14),0),0)</f>
        <v>0</v>
      </c>
      <c r="H33" s="14"/>
      <c r="I33" s="14"/>
      <c r="J33" s="14"/>
      <c r="K33" s="14"/>
      <c r="L33" s="14"/>
      <c r="M33" s="14"/>
      <c r="N33" s="15"/>
    </row>
    <row r="34" spans="2:14" x14ac:dyDescent="0.3"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5"/>
    </row>
    <row r="35" spans="2:14" x14ac:dyDescent="0.3"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5"/>
    </row>
    <row r="36" spans="2:14" ht="14.4" customHeight="1" x14ac:dyDescent="0.3">
      <c r="B36" s="13"/>
      <c r="D36" s="116" t="s">
        <v>58</v>
      </c>
      <c r="E36" s="116"/>
      <c r="F36" s="116"/>
      <c r="G36" s="116"/>
      <c r="H36" s="116"/>
      <c r="I36" s="116"/>
      <c r="J36" s="116"/>
      <c r="K36" s="116"/>
      <c r="L36" s="116"/>
      <c r="M36" s="116"/>
      <c r="N36" s="15"/>
    </row>
    <row r="37" spans="2:14" x14ac:dyDescent="0.3">
      <c r="B37" s="13"/>
      <c r="C37" s="17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5"/>
    </row>
    <row r="38" spans="2:14" x14ac:dyDescent="0.3">
      <c r="B38" s="13"/>
      <c r="C38" s="14"/>
      <c r="K38" s="14"/>
      <c r="L38" s="14"/>
      <c r="M38" s="14"/>
      <c r="N38" s="15"/>
    </row>
    <row r="39" spans="2:14" x14ac:dyDescent="0.3">
      <c r="B39" s="13"/>
      <c r="C39" s="14"/>
      <c r="D39" s="33" t="s">
        <v>57</v>
      </c>
      <c r="E39" s="33">
        <v>1</v>
      </c>
      <c r="F39" s="33">
        <v>2</v>
      </c>
      <c r="G39" s="33">
        <v>3</v>
      </c>
      <c r="H39" s="33">
        <v>4</v>
      </c>
      <c r="I39" s="33">
        <v>5</v>
      </c>
      <c r="J39" s="33">
        <v>6</v>
      </c>
      <c r="K39" s="33">
        <v>7</v>
      </c>
      <c r="L39" s="33">
        <v>8</v>
      </c>
      <c r="M39" s="33">
        <v>9</v>
      </c>
      <c r="N39" s="15"/>
    </row>
    <row r="40" spans="2:14" x14ac:dyDescent="0.3">
      <c r="B40" s="13"/>
      <c r="C40" s="14"/>
      <c r="D40" s="33" t="s">
        <v>231</v>
      </c>
      <c r="E40" s="81">
        <f>35*35-PI()*17.5^2</f>
        <v>262.88724983812585</v>
      </c>
      <c r="F40" s="81">
        <v>0</v>
      </c>
      <c r="G40" s="81">
        <v>0</v>
      </c>
      <c r="H40" s="81">
        <f>PI()*2^2</f>
        <v>12.566370614359172</v>
      </c>
      <c r="I40" s="81"/>
      <c r="J40" s="81"/>
      <c r="K40" s="81"/>
      <c r="L40" s="81"/>
      <c r="M40" s="81"/>
      <c r="N40" s="15"/>
    </row>
    <row r="41" spans="2:14" ht="15" thickBot="1" x14ac:dyDescent="0.35"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5"/>
    </row>
    <row r="42" spans="2:14" ht="15" thickBot="1" x14ac:dyDescent="0.35">
      <c r="B42" s="13"/>
      <c r="C42" s="14"/>
      <c r="D42" s="118" t="s">
        <v>230</v>
      </c>
      <c r="E42" s="119"/>
      <c r="F42" s="119"/>
      <c r="G42" s="119"/>
      <c r="H42" s="156" t="str">
        <f>IFERROR((I12*I13-SUM(E40:M40))/(I12*I13),"")</f>
        <v/>
      </c>
      <c r="I42" s="14"/>
      <c r="J42" s="14"/>
      <c r="K42" s="14"/>
      <c r="L42" s="14"/>
      <c r="M42" s="14"/>
      <c r="N42" s="15"/>
    </row>
    <row r="43" spans="2:14" x14ac:dyDescent="0.3"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5"/>
    </row>
    <row r="44" spans="2:14" ht="14.4" customHeight="1" x14ac:dyDescent="0.3">
      <c r="B44" s="13"/>
      <c r="C44" s="14"/>
      <c r="D44" s="125" t="s">
        <v>232</v>
      </c>
      <c r="E44" s="125"/>
      <c r="F44" s="125"/>
      <c r="G44" s="125"/>
      <c r="H44" s="125"/>
      <c r="I44" s="125"/>
      <c r="J44" s="125"/>
      <c r="K44" s="125"/>
      <c r="L44" s="125"/>
      <c r="M44" s="125"/>
      <c r="N44" s="126"/>
    </row>
    <row r="45" spans="2:14" x14ac:dyDescent="0.3">
      <c r="B45" s="13"/>
      <c r="C45" s="14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6"/>
    </row>
    <row r="46" spans="2:14" x14ac:dyDescent="0.3">
      <c r="B46" s="13"/>
      <c r="C46" s="14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6"/>
    </row>
    <row r="47" spans="2:14" ht="14.4" customHeight="1" x14ac:dyDescent="0.3">
      <c r="B47" s="13"/>
      <c r="C47" s="14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6"/>
    </row>
    <row r="48" spans="2:14" ht="14.4" customHeight="1" thickBot="1" x14ac:dyDescent="0.35">
      <c r="B48" s="13"/>
      <c r="C48" s="14"/>
      <c r="D48" s="14"/>
      <c r="E48" s="14"/>
      <c r="F48" s="14"/>
      <c r="G48" s="14"/>
      <c r="H48" s="14"/>
      <c r="I48" s="14"/>
      <c r="J48" s="14"/>
      <c r="N48" s="15"/>
    </row>
    <row r="49" spans="2:14" ht="30" customHeight="1" thickBot="1" x14ac:dyDescent="0.35">
      <c r="B49" s="13"/>
      <c r="C49" s="14"/>
      <c r="D49" s="14"/>
      <c r="E49" s="127" t="s">
        <v>67</v>
      </c>
      <c r="F49" s="128"/>
      <c r="G49" s="41" t="s">
        <v>61</v>
      </c>
      <c r="H49" s="42" t="s">
        <v>62</v>
      </c>
      <c r="I49" s="36" t="s">
        <v>63</v>
      </c>
      <c r="J49" s="14"/>
      <c r="K49" s="131" t="s">
        <v>64</v>
      </c>
      <c r="L49" s="131"/>
      <c r="M49" s="131"/>
      <c r="N49" s="132"/>
    </row>
    <row r="50" spans="2:14" ht="14.4" customHeight="1" thickBot="1" x14ac:dyDescent="0.35">
      <c r="B50" s="13"/>
      <c r="C50" s="14"/>
      <c r="D50" s="14"/>
      <c r="E50" s="129"/>
      <c r="F50" s="130"/>
      <c r="G50" s="41">
        <f>G32</f>
        <v>0</v>
      </c>
      <c r="H50" s="42">
        <f>IFERROR(1200/ROUNDDOWN((1200/G32),0),0)</f>
        <v>0</v>
      </c>
      <c r="I50" s="38">
        <f>M50</f>
        <v>0</v>
      </c>
      <c r="J50" s="14"/>
      <c r="K50" s="14"/>
      <c r="L50" s="37" t="s">
        <v>66</v>
      </c>
      <c r="M50" s="38"/>
      <c r="N50" s="15"/>
    </row>
    <row r="51" spans="2:14" ht="15" customHeight="1" thickBot="1" x14ac:dyDescent="0.35">
      <c r="B51" s="13"/>
      <c r="C51" s="14"/>
      <c r="D51" s="14"/>
      <c r="E51" s="123" t="s">
        <v>233</v>
      </c>
      <c r="F51" s="43">
        <v>1000</v>
      </c>
      <c r="G51" s="148">
        <f>IFERROR(ROUNDDOWN(($F51/($I$13+$I$14)),0)*$I$13*$I$12*$H$42/($F51*G$50),0)</f>
        <v>0</v>
      </c>
      <c r="H51" s="149">
        <f t="shared" ref="H51:I72" si="0">IFERROR(ROUNDDOWN(($F51/($I$13+$I$14)),0)*$I$13*$I$12*$H$42/($F51*H$50),0)</f>
        <v>0</v>
      </c>
      <c r="I51" s="150">
        <f t="shared" si="0"/>
        <v>0</v>
      </c>
      <c r="J51" s="14"/>
      <c r="K51" s="14"/>
      <c r="L51" s="39" t="s">
        <v>65</v>
      </c>
      <c r="M51" s="40"/>
      <c r="N51" s="15"/>
    </row>
    <row r="52" spans="2:14" ht="14.4" customHeight="1" x14ac:dyDescent="0.3">
      <c r="B52" s="13"/>
      <c r="C52" s="14"/>
      <c r="D52" s="14"/>
      <c r="E52" s="123"/>
      <c r="F52" s="44">
        <v>1100</v>
      </c>
      <c r="G52" s="151">
        <f t="shared" ref="G52:G72" si="1">IFERROR(ROUNDDOWN(($F52/($I$13+$I$14)),0)*$I$13*$I$12*$H$42/($F52*G$50),0)</f>
        <v>0</v>
      </c>
      <c r="H52" s="152">
        <f t="shared" si="0"/>
        <v>0</v>
      </c>
      <c r="I52" s="153">
        <f t="shared" si="0"/>
        <v>0</v>
      </c>
      <c r="J52" s="14"/>
      <c r="K52" s="14"/>
      <c r="L52" s="14"/>
      <c r="M52" s="14"/>
      <c r="N52" s="15"/>
    </row>
    <row r="53" spans="2:14" x14ac:dyDescent="0.3">
      <c r="B53" s="13"/>
      <c r="C53" s="14"/>
      <c r="D53" s="14"/>
      <c r="E53" s="123"/>
      <c r="F53" s="44">
        <v>1200</v>
      </c>
      <c r="G53" s="151">
        <f t="shared" si="1"/>
        <v>0</v>
      </c>
      <c r="H53" s="152">
        <f t="shared" si="0"/>
        <v>0</v>
      </c>
      <c r="I53" s="153">
        <f t="shared" si="0"/>
        <v>0</v>
      </c>
      <c r="J53" s="14"/>
      <c r="K53" s="14"/>
      <c r="L53" s="14"/>
      <c r="M53" s="14"/>
      <c r="N53" s="15"/>
    </row>
    <row r="54" spans="2:14" ht="14.4" customHeight="1" x14ac:dyDescent="0.3">
      <c r="B54" s="13"/>
      <c r="C54" s="14"/>
      <c r="D54" s="14"/>
      <c r="E54" s="123"/>
      <c r="F54" s="44">
        <v>1300</v>
      </c>
      <c r="G54" s="151">
        <f t="shared" si="1"/>
        <v>0</v>
      </c>
      <c r="H54" s="152">
        <f t="shared" si="0"/>
        <v>0</v>
      </c>
      <c r="I54" s="153">
        <f t="shared" si="0"/>
        <v>0</v>
      </c>
      <c r="J54" s="14"/>
      <c r="K54" s="14"/>
      <c r="L54" s="14"/>
      <c r="M54" s="14"/>
      <c r="N54" s="15"/>
    </row>
    <row r="55" spans="2:14" x14ac:dyDescent="0.3">
      <c r="B55" s="13"/>
      <c r="C55" s="14"/>
      <c r="D55" s="14"/>
      <c r="E55" s="123"/>
      <c r="F55" s="44">
        <v>1400</v>
      </c>
      <c r="G55" s="151">
        <f t="shared" si="1"/>
        <v>0</v>
      </c>
      <c r="H55" s="152">
        <f t="shared" si="0"/>
        <v>0</v>
      </c>
      <c r="I55" s="153">
        <f t="shared" si="0"/>
        <v>0</v>
      </c>
      <c r="J55" s="14"/>
      <c r="K55" s="14"/>
      <c r="L55" s="14"/>
      <c r="M55" s="14"/>
      <c r="N55" s="15"/>
    </row>
    <row r="56" spans="2:14" ht="14.4" customHeight="1" x14ac:dyDescent="0.3">
      <c r="B56" s="13"/>
      <c r="C56" s="14"/>
      <c r="D56" s="14"/>
      <c r="E56" s="123"/>
      <c r="F56" s="44">
        <v>1500</v>
      </c>
      <c r="G56" s="151">
        <f t="shared" si="1"/>
        <v>0</v>
      </c>
      <c r="H56" s="152">
        <f t="shared" si="0"/>
        <v>0</v>
      </c>
      <c r="I56" s="153">
        <f t="shared" si="0"/>
        <v>0</v>
      </c>
      <c r="J56" s="14"/>
      <c r="K56" s="14"/>
      <c r="L56" s="14"/>
      <c r="M56" s="14"/>
      <c r="N56" s="15"/>
    </row>
    <row r="57" spans="2:14" x14ac:dyDescent="0.3">
      <c r="B57" s="13"/>
      <c r="C57" s="14"/>
      <c r="D57" s="14"/>
      <c r="E57" s="123"/>
      <c r="F57" s="44">
        <v>1600</v>
      </c>
      <c r="G57" s="151">
        <f t="shared" si="1"/>
        <v>0</v>
      </c>
      <c r="H57" s="152">
        <f t="shared" si="0"/>
        <v>0</v>
      </c>
      <c r="I57" s="153">
        <f t="shared" si="0"/>
        <v>0</v>
      </c>
      <c r="J57" s="14"/>
      <c r="K57" s="14"/>
      <c r="L57" s="14"/>
      <c r="M57" s="14"/>
      <c r="N57" s="15"/>
    </row>
    <row r="58" spans="2:14" ht="14.4" customHeight="1" x14ac:dyDescent="0.3">
      <c r="B58" s="13"/>
      <c r="C58" s="14"/>
      <c r="D58" s="14"/>
      <c r="E58" s="123"/>
      <c r="F58" s="44">
        <v>1700</v>
      </c>
      <c r="G58" s="151">
        <f t="shared" si="1"/>
        <v>0</v>
      </c>
      <c r="H58" s="152">
        <f t="shared" si="0"/>
        <v>0</v>
      </c>
      <c r="I58" s="153">
        <f t="shared" si="0"/>
        <v>0</v>
      </c>
      <c r="J58" s="14"/>
      <c r="K58" s="14"/>
      <c r="L58" s="14"/>
      <c r="M58" s="14"/>
      <c r="N58" s="15"/>
    </row>
    <row r="59" spans="2:14" x14ac:dyDescent="0.3">
      <c r="B59" s="13"/>
      <c r="C59" s="14"/>
      <c r="D59" s="14"/>
      <c r="E59" s="123"/>
      <c r="F59" s="44">
        <v>1800</v>
      </c>
      <c r="G59" s="151">
        <f t="shared" si="1"/>
        <v>0</v>
      </c>
      <c r="H59" s="152">
        <f t="shared" si="0"/>
        <v>0</v>
      </c>
      <c r="I59" s="153">
        <f t="shared" si="0"/>
        <v>0</v>
      </c>
      <c r="J59" s="14"/>
      <c r="K59" s="14"/>
      <c r="L59" s="14"/>
      <c r="M59" s="14"/>
      <c r="N59" s="15"/>
    </row>
    <row r="60" spans="2:14" ht="14.4" customHeight="1" x14ac:dyDescent="0.3">
      <c r="B60" s="13"/>
      <c r="C60" s="14"/>
      <c r="D60" s="14"/>
      <c r="E60" s="123"/>
      <c r="F60" s="44">
        <v>1900</v>
      </c>
      <c r="G60" s="151">
        <f t="shared" si="1"/>
        <v>0</v>
      </c>
      <c r="H60" s="152">
        <f t="shared" si="0"/>
        <v>0</v>
      </c>
      <c r="I60" s="153">
        <f t="shared" si="0"/>
        <v>0</v>
      </c>
      <c r="J60" s="14"/>
      <c r="K60" s="14"/>
      <c r="L60" s="14"/>
      <c r="M60" s="14"/>
      <c r="N60" s="15"/>
    </row>
    <row r="61" spans="2:14" x14ac:dyDescent="0.3">
      <c r="B61" s="13"/>
      <c r="C61" s="14"/>
      <c r="D61" s="14"/>
      <c r="E61" s="123"/>
      <c r="F61" s="44">
        <v>2000</v>
      </c>
      <c r="G61" s="151">
        <f t="shared" si="1"/>
        <v>0</v>
      </c>
      <c r="H61" s="152">
        <f t="shared" si="0"/>
        <v>0</v>
      </c>
      <c r="I61" s="153">
        <f t="shared" si="0"/>
        <v>0</v>
      </c>
      <c r="J61" s="14"/>
      <c r="K61" s="14"/>
      <c r="L61" s="14"/>
      <c r="M61" s="14"/>
      <c r="N61" s="15"/>
    </row>
    <row r="62" spans="2:14" x14ac:dyDescent="0.3">
      <c r="B62" s="13"/>
      <c r="C62" s="14"/>
      <c r="D62" s="14"/>
      <c r="E62" s="123"/>
      <c r="F62" s="44">
        <v>2100</v>
      </c>
      <c r="G62" s="151">
        <f t="shared" si="1"/>
        <v>0</v>
      </c>
      <c r="H62" s="152">
        <f t="shared" si="0"/>
        <v>0</v>
      </c>
      <c r="I62" s="153">
        <f t="shared" si="0"/>
        <v>0</v>
      </c>
      <c r="J62" s="14"/>
      <c r="K62" s="14"/>
      <c r="L62" s="14"/>
      <c r="M62" s="14"/>
      <c r="N62" s="15"/>
    </row>
    <row r="63" spans="2:14" ht="14.4" customHeight="1" x14ac:dyDescent="0.3">
      <c r="B63" s="13"/>
      <c r="C63" s="14"/>
      <c r="D63" s="14"/>
      <c r="E63" s="123"/>
      <c r="F63" s="44">
        <v>2200</v>
      </c>
      <c r="G63" s="151">
        <f t="shared" si="1"/>
        <v>0</v>
      </c>
      <c r="H63" s="152">
        <f t="shared" si="0"/>
        <v>0</v>
      </c>
      <c r="I63" s="153">
        <f t="shared" si="0"/>
        <v>0</v>
      </c>
      <c r="J63" s="14"/>
      <c r="K63" s="14"/>
      <c r="L63" s="14"/>
      <c r="M63" s="14"/>
      <c r="N63" s="15"/>
    </row>
    <row r="64" spans="2:14" x14ac:dyDescent="0.3">
      <c r="B64" s="13"/>
      <c r="C64" s="14"/>
      <c r="D64" s="14"/>
      <c r="E64" s="123"/>
      <c r="F64" s="44">
        <v>2300</v>
      </c>
      <c r="G64" s="151">
        <f t="shared" si="1"/>
        <v>0</v>
      </c>
      <c r="H64" s="152">
        <f t="shared" si="0"/>
        <v>0</v>
      </c>
      <c r="I64" s="153">
        <f t="shared" si="0"/>
        <v>0</v>
      </c>
      <c r="J64" s="14"/>
      <c r="K64" s="14"/>
      <c r="L64" s="14"/>
      <c r="M64" s="14"/>
      <c r="N64" s="15"/>
    </row>
    <row r="65" spans="2:14" ht="14.4" customHeight="1" x14ac:dyDescent="0.3">
      <c r="B65" s="13"/>
      <c r="C65" s="14"/>
      <c r="D65" s="14"/>
      <c r="E65" s="123"/>
      <c r="F65" s="44">
        <v>2400</v>
      </c>
      <c r="G65" s="151">
        <f t="shared" si="1"/>
        <v>0</v>
      </c>
      <c r="H65" s="152">
        <f t="shared" si="0"/>
        <v>0</v>
      </c>
      <c r="I65" s="153">
        <f t="shared" si="0"/>
        <v>0</v>
      </c>
      <c r="J65" s="14"/>
      <c r="K65" s="14"/>
      <c r="L65" s="14"/>
      <c r="M65" s="14"/>
      <c r="N65" s="15"/>
    </row>
    <row r="66" spans="2:14" x14ac:dyDescent="0.3">
      <c r="B66" s="13"/>
      <c r="C66" s="14"/>
      <c r="D66" s="14"/>
      <c r="E66" s="123"/>
      <c r="F66" s="44">
        <v>2500</v>
      </c>
      <c r="G66" s="151">
        <f t="shared" si="1"/>
        <v>0</v>
      </c>
      <c r="H66" s="152">
        <f t="shared" si="0"/>
        <v>0</v>
      </c>
      <c r="I66" s="153">
        <f t="shared" si="0"/>
        <v>0</v>
      </c>
      <c r="J66" s="14"/>
      <c r="K66" s="14"/>
      <c r="L66" s="14"/>
      <c r="M66" s="14"/>
      <c r="N66" s="15"/>
    </row>
    <row r="67" spans="2:14" ht="14.4" customHeight="1" x14ac:dyDescent="0.3">
      <c r="B67" s="13"/>
      <c r="C67" s="14"/>
      <c r="D67" s="14"/>
      <c r="E67" s="123"/>
      <c r="F67" s="44">
        <v>2600</v>
      </c>
      <c r="G67" s="151">
        <f t="shared" si="1"/>
        <v>0</v>
      </c>
      <c r="H67" s="152">
        <f t="shared" si="0"/>
        <v>0</v>
      </c>
      <c r="I67" s="153">
        <f t="shared" si="0"/>
        <v>0</v>
      </c>
      <c r="J67" s="14"/>
      <c r="K67" s="14"/>
      <c r="L67" s="14"/>
      <c r="M67" s="14"/>
      <c r="N67" s="15"/>
    </row>
    <row r="68" spans="2:14" x14ac:dyDescent="0.3">
      <c r="B68" s="13"/>
      <c r="C68" s="14"/>
      <c r="D68" s="14"/>
      <c r="E68" s="123"/>
      <c r="F68" s="44">
        <v>2700</v>
      </c>
      <c r="G68" s="151">
        <f t="shared" si="1"/>
        <v>0</v>
      </c>
      <c r="H68" s="152">
        <f t="shared" si="0"/>
        <v>0</v>
      </c>
      <c r="I68" s="153">
        <f t="shared" si="0"/>
        <v>0</v>
      </c>
      <c r="J68" s="14"/>
      <c r="K68" s="14"/>
      <c r="L68" s="14"/>
      <c r="M68" s="14"/>
      <c r="N68" s="15"/>
    </row>
    <row r="69" spans="2:14" ht="14.4" customHeight="1" x14ac:dyDescent="0.3">
      <c r="B69" s="13"/>
      <c r="C69" s="14"/>
      <c r="D69" s="14"/>
      <c r="E69" s="123"/>
      <c r="F69" s="44">
        <v>2800</v>
      </c>
      <c r="G69" s="151">
        <f t="shared" si="1"/>
        <v>0</v>
      </c>
      <c r="H69" s="152">
        <f t="shared" si="0"/>
        <v>0</v>
      </c>
      <c r="I69" s="153">
        <f t="shared" si="0"/>
        <v>0</v>
      </c>
      <c r="J69" s="14"/>
      <c r="K69" s="14"/>
      <c r="L69" s="14"/>
      <c r="M69" s="14"/>
      <c r="N69" s="15"/>
    </row>
    <row r="70" spans="2:14" x14ac:dyDescent="0.3">
      <c r="B70" s="13"/>
      <c r="C70" s="14"/>
      <c r="D70" s="14"/>
      <c r="E70" s="123"/>
      <c r="F70" s="44">
        <v>2900</v>
      </c>
      <c r="G70" s="151">
        <f t="shared" si="1"/>
        <v>0</v>
      </c>
      <c r="H70" s="152">
        <f t="shared" si="0"/>
        <v>0</v>
      </c>
      <c r="I70" s="153">
        <f t="shared" si="0"/>
        <v>0</v>
      </c>
      <c r="J70" s="14"/>
      <c r="K70" s="14"/>
      <c r="L70" s="14"/>
      <c r="M70" s="14"/>
      <c r="N70" s="15"/>
    </row>
    <row r="71" spans="2:14" ht="14.4" customHeight="1" x14ac:dyDescent="0.3">
      <c r="B71" s="13"/>
      <c r="C71" s="14"/>
      <c r="D71" s="14"/>
      <c r="E71" s="123"/>
      <c r="F71" s="44">
        <v>3000</v>
      </c>
      <c r="G71" s="151">
        <f t="shared" si="1"/>
        <v>0</v>
      </c>
      <c r="H71" s="152">
        <f t="shared" si="0"/>
        <v>0</v>
      </c>
      <c r="I71" s="153">
        <f t="shared" si="0"/>
        <v>0</v>
      </c>
      <c r="J71" s="14"/>
      <c r="K71" s="14"/>
      <c r="L71" s="14"/>
      <c r="M71" s="14"/>
      <c r="N71" s="15"/>
    </row>
    <row r="72" spans="2:14" ht="15" thickBot="1" x14ac:dyDescent="0.35">
      <c r="B72" s="13"/>
      <c r="C72" s="14"/>
      <c r="D72" s="14"/>
      <c r="E72" s="124"/>
      <c r="F72" s="45">
        <f>M51</f>
        <v>0</v>
      </c>
      <c r="G72" s="154">
        <f t="shared" si="1"/>
        <v>0</v>
      </c>
      <c r="H72" s="155">
        <f t="shared" si="0"/>
        <v>0</v>
      </c>
      <c r="I72" s="157">
        <f t="shared" si="0"/>
        <v>0</v>
      </c>
      <c r="J72" s="14"/>
      <c r="K72" s="14"/>
      <c r="L72" s="14"/>
      <c r="M72" s="14"/>
      <c r="N72" s="15"/>
    </row>
    <row r="73" spans="2:14" ht="14.4" customHeight="1" x14ac:dyDescent="0.3">
      <c r="B73" s="13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5"/>
    </row>
    <row r="74" spans="2:14" x14ac:dyDescent="0.3">
      <c r="B74" s="13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5"/>
    </row>
    <row r="75" spans="2:14" ht="14.4" customHeight="1" thickBot="1" x14ac:dyDescent="0.35">
      <c r="B75" s="20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2"/>
    </row>
  </sheetData>
  <mergeCells count="13">
    <mergeCell ref="E51:E72"/>
    <mergeCell ref="D33:F33"/>
    <mergeCell ref="D36:M37"/>
    <mergeCell ref="D42:G42"/>
    <mergeCell ref="D44:N47"/>
    <mergeCell ref="E49:F50"/>
    <mergeCell ref="K49:N49"/>
    <mergeCell ref="D32:F32"/>
    <mergeCell ref="C5:H5"/>
    <mergeCell ref="D7:E7"/>
    <mergeCell ref="C9:J10"/>
    <mergeCell ref="C22:C28"/>
    <mergeCell ref="D30:M3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4FF2A-C46F-4DDF-B1B4-8C564A173C2C}">
  <dimension ref="B1:K32"/>
  <sheetViews>
    <sheetView showGridLines="0" topLeftCell="A5" zoomScale="70" zoomScaleNormal="70" workbookViewId="0">
      <selection activeCell="O13" sqref="O13"/>
    </sheetView>
  </sheetViews>
  <sheetFormatPr defaultRowHeight="14.4" x14ac:dyDescent="0.3"/>
  <cols>
    <col min="3" max="3" width="20.33203125" customWidth="1"/>
    <col min="4" max="4" width="17.109375" customWidth="1"/>
    <col min="6" max="6" width="11.6640625" customWidth="1"/>
    <col min="7" max="7" width="12.77734375" customWidth="1"/>
    <col min="8" max="8" width="14" customWidth="1"/>
    <col min="9" max="9" width="17.109375" bestFit="1" customWidth="1"/>
  </cols>
  <sheetData>
    <row r="1" spans="2:11" ht="39" customHeight="1" thickBot="1" x14ac:dyDescent="0.4">
      <c r="C1" s="100" t="s">
        <v>229</v>
      </c>
    </row>
    <row r="2" spans="2:11" x14ac:dyDescent="0.3">
      <c r="B2" s="10"/>
      <c r="C2" s="11"/>
      <c r="D2" s="11"/>
      <c r="E2" s="11"/>
      <c r="F2" s="11"/>
      <c r="G2" s="11"/>
      <c r="H2" s="11"/>
      <c r="I2" s="11"/>
      <c r="J2" s="11"/>
      <c r="K2" s="12"/>
    </row>
    <row r="3" spans="2:11" x14ac:dyDescent="0.3">
      <c r="B3" s="13"/>
      <c r="C3" s="14"/>
      <c r="D3" s="14"/>
      <c r="E3" s="14"/>
      <c r="F3" s="14"/>
      <c r="G3" s="14"/>
      <c r="H3" s="14"/>
      <c r="I3" s="14"/>
      <c r="J3" s="14"/>
      <c r="K3" s="15"/>
    </row>
    <row r="4" spans="2:11" x14ac:dyDescent="0.3">
      <c r="B4" s="13"/>
      <c r="C4" s="14"/>
      <c r="D4" s="14"/>
      <c r="E4" s="14"/>
      <c r="F4" s="14"/>
      <c r="G4" s="14"/>
      <c r="H4" s="14"/>
      <c r="I4" s="14"/>
      <c r="J4" s="14"/>
      <c r="K4" s="15"/>
    </row>
    <row r="5" spans="2:11" x14ac:dyDescent="0.3">
      <c r="B5" s="13"/>
      <c r="C5" s="14" t="s">
        <v>220</v>
      </c>
      <c r="D5" s="14"/>
      <c r="E5" s="14"/>
      <c r="F5" s="14"/>
      <c r="G5" s="14"/>
      <c r="H5" s="14"/>
      <c r="I5" s="14"/>
      <c r="J5" s="14"/>
      <c r="K5" s="15"/>
    </row>
    <row r="6" spans="2:11" x14ac:dyDescent="0.3">
      <c r="B6" s="13"/>
      <c r="C6" s="14"/>
      <c r="D6" s="14"/>
      <c r="E6" s="14"/>
      <c r="F6" s="14"/>
      <c r="G6" s="14"/>
      <c r="H6" s="14"/>
      <c r="I6" s="14"/>
      <c r="J6" s="14"/>
      <c r="K6" s="15"/>
    </row>
    <row r="7" spans="2:11" ht="14.4" customHeight="1" x14ac:dyDescent="0.3">
      <c r="B7" s="13"/>
      <c r="I7" s="6"/>
      <c r="J7" s="6"/>
      <c r="K7" s="105"/>
    </row>
    <row r="8" spans="2:11" x14ac:dyDescent="0.3">
      <c r="B8" s="13"/>
      <c r="H8" s="6"/>
      <c r="I8" s="6"/>
      <c r="J8" s="6"/>
      <c r="K8" s="105"/>
    </row>
    <row r="9" spans="2:11" ht="14.4" customHeight="1" x14ac:dyDescent="0.3">
      <c r="B9" s="13"/>
      <c r="H9" s="133" t="s">
        <v>224</v>
      </c>
      <c r="I9" s="133"/>
      <c r="J9" s="133"/>
      <c r="K9" s="15"/>
    </row>
    <row r="10" spans="2:11" x14ac:dyDescent="0.3">
      <c r="B10" s="13"/>
      <c r="C10" s="14"/>
      <c r="D10" s="14"/>
      <c r="E10" s="14"/>
      <c r="F10" s="14"/>
      <c r="G10" s="14"/>
      <c r="H10" s="133"/>
      <c r="I10" s="133"/>
      <c r="J10" s="133"/>
      <c r="K10" s="15"/>
    </row>
    <row r="11" spans="2:11" x14ac:dyDescent="0.3">
      <c r="B11" s="13"/>
      <c r="C11" s="14"/>
      <c r="D11" s="14"/>
      <c r="E11" s="14"/>
      <c r="F11" s="14"/>
      <c r="G11" s="14"/>
      <c r="H11" s="133"/>
      <c r="I11" s="133"/>
      <c r="J11" s="133"/>
      <c r="K11" s="15"/>
    </row>
    <row r="12" spans="2:11" x14ac:dyDescent="0.3">
      <c r="B12" s="13"/>
      <c r="C12" s="14"/>
      <c r="D12" s="14"/>
      <c r="E12" s="14"/>
      <c r="F12" s="14"/>
      <c r="G12" s="14"/>
      <c r="H12" s="133"/>
      <c r="I12" s="133"/>
      <c r="J12" s="133"/>
      <c r="K12" s="15"/>
    </row>
    <row r="13" spans="2:11" x14ac:dyDescent="0.3">
      <c r="B13" s="13"/>
      <c r="C13" s="14"/>
      <c r="D13" s="14"/>
      <c r="E13" s="14"/>
      <c r="F13" s="14"/>
      <c r="G13" s="14"/>
      <c r="H13" s="14"/>
      <c r="I13" s="14"/>
      <c r="J13" s="14"/>
      <c r="K13" s="15"/>
    </row>
    <row r="14" spans="2:11" x14ac:dyDescent="0.3">
      <c r="B14" s="13"/>
      <c r="C14" s="14"/>
      <c r="D14" s="14"/>
      <c r="E14" s="14"/>
      <c r="F14" s="14"/>
      <c r="G14" s="14"/>
      <c r="H14" s="14"/>
      <c r="I14" s="14"/>
      <c r="J14" s="14"/>
      <c r="K14" s="15"/>
    </row>
    <row r="15" spans="2:11" x14ac:dyDescent="0.3">
      <c r="B15" s="13"/>
      <c r="K15" s="15"/>
    </row>
    <row r="16" spans="2:11" x14ac:dyDescent="0.3">
      <c r="B16" s="13"/>
      <c r="K16" s="15"/>
    </row>
    <row r="17" spans="2:11" x14ac:dyDescent="0.3">
      <c r="B17" s="13"/>
      <c r="K17" s="15"/>
    </row>
    <row r="18" spans="2:11" x14ac:dyDescent="0.3">
      <c r="B18" s="13"/>
      <c r="C18" s="35" t="s">
        <v>221</v>
      </c>
      <c r="D18" s="35">
        <v>1</v>
      </c>
      <c r="E18" s="35">
        <v>2</v>
      </c>
      <c r="F18" s="35">
        <v>3</v>
      </c>
      <c r="G18" s="35">
        <v>4</v>
      </c>
      <c r="H18" s="35">
        <v>5</v>
      </c>
      <c r="I18" s="35">
        <v>6</v>
      </c>
      <c r="J18" s="35">
        <v>7</v>
      </c>
      <c r="K18" s="15"/>
    </row>
    <row r="19" spans="2:11" x14ac:dyDescent="0.3">
      <c r="B19" s="13"/>
      <c r="C19" s="24" t="s">
        <v>222</v>
      </c>
      <c r="D19" s="77"/>
      <c r="E19" s="77"/>
      <c r="F19" s="77"/>
      <c r="G19" s="77"/>
      <c r="H19" s="77"/>
      <c r="I19" s="77"/>
      <c r="J19" s="77"/>
      <c r="K19" s="15"/>
    </row>
    <row r="20" spans="2:11" x14ac:dyDescent="0.3">
      <c r="B20" s="13"/>
      <c r="C20" s="35" t="s">
        <v>223</v>
      </c>
      <c r="D20" s="77"/>
      <c r="E20" s="77"/>
      <c r="F20" s="77"/>
      <c r="G20" s="77"/>
      <c r="H20" s="77"/>
      <c r="I20" s="77"/>
      <c r="J20" s="77"/>
      <c r="K20" s="15"/>
    </row>
    <row r="21" spans="2:11" x14ac:dyDescent="0.3">
      <c r="B21" s="13"/>
      <c r="C21" s="35" t="s">
        <v>225</v>
      </c>
      <c r="D21" s="77"/>
      <c r="E21" s="77"/>
      <c r="F21" s="77"/>
      <c r="G21" s="77"/>
      <c r="H21" s="77"/>
      <c r="I21" s="77"/>
      <c r="J21" s="77"/>
      <c r="K21" s="15"/>
    </row>
    <row r="22" spans="2:11" ht="14.4" customHeight="1" x14ac:dyDescent="0.3">
      <c r="B22" s="13"/>
      <c r="C22" s="14"/>
      <c r="D22" s="14"/>
      <c r="E22" s="14"/>
      <c r="F22" s="14"/>
      <c r="G22" s="14"/>
      <c r="H22" s="14"/>
      <c r="I22" s="14"/>
      <c r="J22" s="14"/>
      <c r="K22" s="15"/>
    </row>
    <row r="23" spans="2:11" x14ac:dyDescent="0.3">
      <c r="B23" s="13"/>
      <c r="K23" s="15"/>
    </row>
    <row r="24" spans="2:11" ht="15.6" x14ac:dyDescent="0.3">
      <c r="B24" s="13"/>
      <c r="C24" s="14" t="s">
        <v>226</v>
      </c>
      <c r="D24" s="14"/>
      <c r="E24" s="14"/>
      <c r="F24" s="14"/>
      <c r="G24" s="46" t="s">
        <v>101</v>
      </c>
      <c r="H24" s="14"/>
      <c r="I24" s="14"/>
      <c r="J24" s="14"/>
      <c r="K24" s="15"/>
    </row>
    <row r="25" spans="2:11" x14ac:dyDescent="0.3">
      <c r="B25" s="13"/>
      <c r="D25" s="14"/>
      <c r="F25" s="14"/>
      <c r="G25" s="14"/>
      <c r="H25" s="14"/>
      <c r="I25" s="14"/>
      <c r="J25" s="14"/>
      <c r="K25" s="15"/>
    </row>
    <row r="26" spans="2:11" x14ac:dyDescent="0.3">
      <c r="B26" s="13"/>
      <c r="D26" s="14"/>
      <c r="E26" s="14"/>
      <c r="F26" s="14"/>
      <c r="G26" s="14"/>
      <c r="H26" s="14"/>
      <c r="I26" s="14"/>
      <c r="J26" s="14"/>
      <c r="K26" s="15"/>
    </row>
    <row r="27" spans="2:11" x14ac:dyDescent="0.3">
      <c r="B27" s="13"/>
      <c r="C27" s="14"/>
      <c r="D27" s="14"/>
      <c r="E27" s="14"/>
      <c r="F27" s="14"/>
      <c r="G27" s="14"/>
      <c r="H27" s="14"/>
      <c r="I27" s="14"/>
      <c r="J27" s="14"/>
      <c r="K27" s="15"/>
    </row>
    <row r="28" spans="2:11" x14ac:dyDescent="0.3">
      <c r="B28" s="13"/>
      <c r="C28" s="24" t="s">
        <v>227</v>
      </c>
      <c r="D28" s="24">
        <f>IFERROR((D19*D$21+E19*E$21+F19*F$21+G19*G$21+H19*H$21+I19*I$21+J19*J$21)/SUM(D21:J21),0)</f>
        <v>0</v>
      </c>
      <c r="E28" s="14"/>
      <c r="F28" s="14"/>
      <c r="G28" s="14"/>
      <c r="H28" s="14"/>
      <c r="I28" s="14"/>
      <c r="J28" s="14"/>
      <c r="K28" s="15"/>
    </row>
    <row r="29" spans="2:11" x14ac:dyDescent="0.3">
      <c r="B29" s="13"/>
      <c r="C29" s="35" t="s">
        <v>228</v>
      </c>
      <c r="D29" s="24">
        <f>IFERROR((D20*D$21+E20*E$21+F20*F$21+G20*G$21+H20*H$21+I20*I$21+J20*J$21)/SUM(D21:J21),0)</f>
        <v>0</v>
      </c>
      <c r="E29" s="14"/>
      <c r="F29" s="14"/>
      <c r="G29" s="14"/>
      <c r="H29" s="14"/>
      <c r="I29" s="14"/>
      <c r="J29" s="14"/>
      <c r="K29" s="15"/>
    </row>
    <row r="30" spans="2:11" ht="14.4" customHeight="1" x14ac:dyDescent="0.3">
      <c r="B30" s="13"/>
      <c r="C30" s="14"/>
      <c r="D30" s="14"/>
      <c r="E30" s="14"/>
      <c r="F30" s="14"/>
      <c r="G30" s="14"/>
      <c r="H30" s="14"/>
      <c r="I30" s="14"/>
      <c r="J30" s="14"/>
      <c r="K30" s="15"/>
    </row>
    <row r="31" spans="2:11" x14ac:dyDescent="0.3">
      <c r="B31" s="13"/>
      <c r="C31" s="14"/>
      <c r="D31" s="14"/>
      <c r="E31" s="14"/>
      <c r="F31" s="14"/>
      <c r="G31" s="14"/>
      <c r="H31" s="14"/>
      <c r="I31" s="14"/>
      <c r="J31" s="14"/>
      <c r="K31" s="15"/>
    </row>
    <row r="32" spans="2:11" ht="14.4" customHeight="1" thickBot="1" x14ac:dyDescent="0.35">
      <c r="B32" s="20"/>
      <c r="C32" s="21"/>
      <c r="D32" s="21"/>
      <c r="E32" s="21"/>
      <c r="F32" s="21"/>
      <c r="G32" s="21"/>
      <c r="H32" s="21"/>
      <c r="I32" s="21"/>
      <c r="J32" s="21"/>
      <c r="K32" s="22"/>
    </row>
  </sheetData>
  <mergeCells count="1">
    <mergeCell ref="H9:J12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6867-A8DE-4602-9B96-42088536271D}">
  <dimension ref="B1:AW105"/>
  <sheetViews>
    <sheetView showGridLines="0" topLeftCell="A87" zoomScale="94" zoomScaleNormal="94" workbookViewId="0">
      <selection activeCell="R4" sqref="R4"/>
    </sheetView>
  </sheetViews>
  <sheetFormatPr defaultRowHeight="14.4" x14ac:dyDescent="0.3"/>
  <cols>
    <col min="4" max="4" width="17.109375" customWidth="1"/>
    <col min="6" max="6" width="13.33203125" customWidth="1"/>
    <col min="7" max="7" width="12.77734375" customWidth="1"/>
    <col min="8" max="8" width="14" customWidth="1"/>
    <col min="9" max="9" width="14.5546875" customWidth="1"/>
    <col min="10" max="10" width="14.44140625" customWidth="1"/>
    <col min="13" max="13" width="23.33203125" customWidth="1"/>
    <col min="14" max="14" width="28.88671875" customWidth="1"/>
    <col min="19" max="19" width="16.109375" bestFit="1" customWidth="1"/>
    <col min="20" max="20" width="2.21875" customWidth="1"/>
    <col min="22" max="22" width="12.77734375" bestFit="1" customWidth="1"/>
    <col min="23" max="23" width="2.44140625" customWidth="1"/>
    <col min="24" max="24" width="13.44140625" bestFit="1" customWidth="1"/>
    <col min="26" max="26" width="2" customWidth="1"/>
    <col min="43" max="43" width="20.77734375" customWidth="1"/>
    <col min="44" max="44" width="9.21875" customWidth="1"/>
    <col min="45" max="45" width="13.109375" customWidth="1"/>
    <col min="46" max="47" width="13.33203125" bestFit="1" customWidth="1"/>
    <col min="49" max="49" width="14.109375" bestFit="1" customWidth="1"/>
  </cols>
  <sheetData>
    <row r="1" spans="2:39" ht="39" customHeight="1" thickBot="1" x14ac:dyDescent="0.4">
      <c r="C1" s="100" t="s">
        <v>229</v>
      </c>
    </row>
    <row r="2" spans="2:39" ht="15" thickBot="1" x14ac:dyDescent="0.3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3"/>
    </row>
    <row r="3" spans="2:39" ht="15" thickBot="1" x14ac:dyDescent="0.35">
      <c r="B3" s="13"/>
      <c r="N3" s="15"/>
      <c r="P3" s="4"/>
      <c r="Q3" s="134" t="s">
        <v>110</v>
      </c>
      <c r="R3" s="135"/>
      <c r="S3" s="71" t="s">
        <v>111</v>
      </c>
      <c r="U3" s="134" t="s">
        <v>112</v>
      </c>
      <c r="V3" s="136"/>
      <c r="X3" s="134" t="s">
        <v>115</v>
      </c>
      <c r="Y3" s="136"/>
      <c r="AM3" s="5"/>
    </row>
    <row r="4" spans="2:39" ht="15" thickBot="1" x14ac:dyDescent="0.3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  <c r="P4" s="4"/>
      <c r="Q4" s="69" t="s">
        <v>91</v>
      </c>
      <c r="R4" s="97"/>
      <c r="S4" s="71">
        <f>R4^2</f>
        <v>0</v>
      </c>
      <c r="U4" s="72" t="s">
        <v>113</v>
      </c>
      <c r="V4" s="66">
        <f>R4^4/12</f>
        <v>0</v>
      </c>
      <c r="X4" s="72" t="s">
        <v>116</v>
      </c>
      <c r="Y4" s="66">
        <f>R4/SQRT(12)</f>
        <v>0</v>
      </c>
      <c r="AM4" s="5"/>
    </row>
    <row r="5" spans="2:39" ht="15" thickBot="1" x14ac:dyDescent="0.3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  <c r="P5" s="4"/>
      <c r="U5" s="73" t="s">
        <v>114</v>
      </c>
      <c r="V5" s="68">
        <f>R4^4/3</f>
        <v>0</v>
      </c>
      <c r="X5" s="73" t="s">
        <v>117</v>
      </c>
      <c r="Y5" s="68">
        <f>R4/SQRT(3)</f>
        <v>0</v>
      </c>
      <c r="AM5" s="5"/>
    </row>
    <row r="6" spans="2:39" x14ac:dyDescent="0.3">
      <c r="B6" s="13"/>
      <c r="C6" s="14"/>
      <c r="D6" s="137" t="s">
        <v>71</v>
      </c>
      <c r="E6" s="137"/>
      <c r="F6" s="137"/>
      <c r="G6" s="137"/>
      <c r="H6" s="137"/>
      <c r="I6" s="137"/>
      <c r="J6" s="137"/>
      <c r="K6" s="137"/>
      <c r="L6" s="14"/>
      <c r="M6" s="14"/>
      <c r="N6" s="15"/>
      <c r="P6" s="4"/>
      <c r="AM6" s="5"/>
    </row>
    <row r="7" spans="2:39" x14ac:dyDescent="0.3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  <c r="P7" s="4"/>
      <c r="AM7" s="5"/>
    </row>
    <row r="8" spans="2:39" x14ac:dyDescent="0.3"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P8" s="4"/>
      <c r="AM8" s="5"/>
    </row>
    <row r="9" spans="2:39" ht="15" thickBot="1" x14ac:dyDescent="0.35"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/>
      <c r="P9" s="4"/>
      <c r="AM9" s="5"/>
    </row>
    <row r="10" spans="2:39" ht="15" thickBot="1" x14ac:dyDescent="0.35"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  <c r="P10" s="4"/>
      <c r="Q10" s="134" t="s">
        <v>110</v>
      </c>
      <c r="R10" s="135"/>
      <c r="S10" s="71" t="s">
        <v>111</v>
      </c>
      <c r="U10" s="134" t="s">
        <v>112</v>
      </c>
      <c r="V10" s="136"/>
      <c r="X10" s="134" t="s">
        <v>115</v>
      </c>
      <c r="Y10" s="136"/>
      <c r="AM10" s="5"/>
    </row>
    <row r="11" spans="2:39" ht="15.6" thickBot="1" x14ac:dyDescent="0.35">
      <c r="B11" s="13"/>
      <c r="C11" s="14"/>
      <c r="D11" s="14"/>
      <c r="E11" s="14"/>
      <c r="F11" s="14"/>
      <c r="G11" s="14"/>
      <c r="H11" s="14"/>
      <c r="I11" s="14"/>
      <c r="J11" s="14"/>
      <c r="L11" s="47" t="s">
        <v>73</v>
      </c>
      <c r="M11" s="14"/>
      <c r="N11" s="15"/>
      <c r="P11" s="4"/>
      <c r="Q11" s="69" t="s">
        <v>91</v>
      </c>
      <c r="R11" s="78"/>
      <c r="S11" s="64">
        <f>R11*R12</f>
        <v>0</v>
      </c>
      <c r="U11" s="72" t="s">
        <v>119</v>
      </c>
      <c r="V11" s="66">
        <f>R11^3*R12/12</f>
        <v>0</v>
      </c>
      <c r="X11" s="72" t="s">
        <v>116</v>
      </c>
      <c r="Y11" s="66">
        <f>R11/SQRT(12)</f>
        <v>0</v>
      </c>
      <c r="AM11" s="5"/>
    </row>
    <row r="12" spans="2:39" ht="14.4" customHeight="1" thickBot="1" x14ac:dyDescent="0.35"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47" t="s">
        <v>72</v>
      </c>
      <c r="M12" s="14"/>
      <c r="N12" s="15"/>
      <c r="P12" s="4"/>
      <c r="Q12" s="69" t="s">
        <v>118</v>
      </c>
      <c r="R12" s="78"/>
      <c r="U12" s="73" t="s">
        <v>114</v>
      </c>
      <c r="V12" s="68">
        <f>R11^3*R12/3</f>
        <v>0</v>
      </c>
      <c r="X12" s="73" t="s">
        <v>117</v>
      </c>
      <c r="Y12" s="68">
        <f>R12/SQRT(3)</f>
        <v>0</v>
      </c>
      <c r="AM12" s="5"/>
    </row>
    <row r="13" spans="2:39" ht="15.6" x14ac:dyDescent="0.3"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46" t="s">
        <v>74</v>
      </c>
      <c r="M13" s="14"/>
      <c r="N13" s="15"/>
      <c r="P13" s="4"/>
      <c r="AM13" s="5"/>
    </row>
    <row r="14" spans="2:39" ht="15.6" x14ac:dyDescent="0.3"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46" t="s">
        <v>75</v>
      </c>
      <c r="M14" s="14"/>
      <c r="N14" s="15"/>
      <c r="P14" s="4"/>
      <c r="AM14" s="5"/>
    </row>
    <row r="15" spans="2:39" ht="16.2" thickBot="1" x14ac:dyDescent="0.35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46" t="s">
        <v>76</v>
      </c>
      <c r="M15" s="14"/>
      <c r="N15" s="15"/>
      <c r="P15" s="4"/>
      <c r="AM15" s="5"/>
    </row>
    <row r="16" spans="2:39" ht="15" thickBot="1" x14ac:dyDescent="0.35"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  <c r="P16" s="4"/>
      <c r="Q16" s="134" t="s">
        <v>110</v>
      </c>
      <c r="R16" s="135"/>
      <c r="S16" s="71" t="s">
        <v>111</v>
      </c>
      <c r="U16" s="134" t="s">
        <v>112</v>
      </c>
      <c r="V16" s="136"/>
      <c r="X16" s="134" t="s">
        <v>115</v>
      </c>
      <c r="Y16" s="136"/>
      <c r="AM16" s="5"/>
    </row>
    <row r="17" spans="2:49" ht="15" thickBot="1" x14ac:dyDescent="0.35">
      <c r="B17" s="13"/>
      <c r="C17" s="14"/>
      <c r="D17" s="14"/>
      <c r="E17" s="14"/>
      <c r="F17" s="14"/>
      <c r="G17" s="14"/>
      <c r="H17" s="14"/>
      <c r="I17" s="14"/>
      <c r="J17" s="14"/>
      <c r="L17" s="14"/>
      <c r="M17" s="14"/>
      <c r="N17" s="15"/>
      <c r="P17" s="4"/>
      <c r="Q17" s="69" t="s">
        <v>91</v>
      </c>
      <c r="R17" s="78"/>
      <c r="S17" s="64">
        <f>R17*R18/2</f>
        <v>0</v>
      </c>
      <c r="U17" s="72" t="s">
        <v>119</v>
      </c>
      <c r="V17" s="66">
        <f>R17^3*R18/36</f>
        <v>0</v>
      </c>
      <c r="X17" s="72" t="s">
        <v>116</v>
      </c>
      <c r="Y17" s="66">
        <f>R17/SQRT(18)</f>
        <v>0</v>
      </c>
      <c r="AM17" s="5"/>
    </row>
    <row r="18" spans="2:49" ht="15" thickBot="1" x14ac:dyDescent="0.35"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 t="s">
        <v>77</v>
      </c>
      <c r="M18" s="14"/>
      <c r="N18" s="15"/>
      <c r="P18" s="4"/>
      <c r="Q18" s="69" t="s">
        <v>118</v>
      </c>
      <c r="R18" s="78"/>
      <c r="U18" s="74" t="s">
        <v>120</v>
      </c>
      <c r="V18" s="67">
        <f>R17^3*R18/46</f>
        <v>0</v>
      </c>
      <c r="X18" s="73" t="s">
        <v>117</v>
      </c>
      <c r="Y18" s="68">
        <f>R18/SQRT(6)</f>
        <v>0</v>
      </c>
      <c r="AM18" s="5"/>
    </row>
    <row r="19" spans="2:49" ht="15" thickBot="1" x14ac:dyDescent="0.35">
      <c r="B19" s="13"/>
      <c r="C19" s="14"/>
      <c r="D19" s="14"/>
      <c r="E19" s="14"/>
      <c r="F19" s="14"/>
      <c r="G19" s="14"/>
      <c r="H19" s="14"/>
      <c r="I19" s="14"/>
      <c r="J19" s="14"/>
      <c r="K19" s="48"/>
      <c r="L19" s="14"/>
      <c r="M19" s="14"/>
      <c r="N19" s="15"/>
      <c r="P19" s="4"/>
      <c r="U19" s="73" t="s">
        <v>114</v>
      </c>
      <c r="V19" s="68">
        <f>R17^3*R18/12</f>
        <v>0</v>
      </c>
      <c r="AM19" s="5"/>
    </row>
    <row r="20" spans="2:49" x14ac:dyDescent="0.3"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P20" s="4"/>
      <c r="AM20" s="5"/>
    </row>
    <row r="21" spans="2:49" ht="15" thickBot="1" x14ac:dyDescent="0.35">
      <c r="B21" s="13"/>
      <c r="C21" s="14"/>
      <c r="D21" s="14"/>
      <c r="E21" s="14"/>
      <c r="F21" s="14"/>
      <c r="G21" s="14"/>
      <c r="H21" s="14"/>
      <c r="I21" s="14"/>
      <c r="J21" s="14"/>
      <c r="N21" s="15"/>
      <c r="P21" s="4"/>
      <c r="AM21" s="5"/>
    </row>
    <row r="22" spans="2:49" ht="15" thickBot="1" x14ac:dyDescent="0.35">
      <c r="B22" s="13"/>
      <c r="C22" s="14"/>
      <c r="D22" s="14"/>
      <c r="E22" s="14"/>
      <c r="F22" s="14"/>
      <c r="G22" s="14"/>
      <c r="H22" s="14"/>
      <c r="I22" s="14"/>
      <c r="J22" s="14"/>
      <c r="L22" s="49"/>
      <c r="M22" s="49" t="s">
        <v>78</v>
      </c>
      <c r="N22" s="15"/>
      <c r="P22" s="4"/>
      <c r="AM22" s="5"/>
    </row>
    <row r="23" spans="2:49" ht="15" thickBot="1" x14ac:dyDescent="0.35">
      <c r="B23" s="13"/>
      <c r="C23" s="14"/>
      <c r="D23" s="14"/>
      <c r="E23" s="14"/>
      <c r="F23" s="14"/>
      <c r="G23" s="14"/>
      <c r="H23" s="14"/>
      <c r="I23" s="14"/>
      <c r="J23" s="14"/>
      <c r="L23" s="51">
        <v>6</v>
      </c>
      <c r="M23" s="50" t="s">
        <v>79</v>
      </c>
      <c r="N23" s="15"/>
      <c r="P23" s="4"/>
      <c r="AM23" s="5"/>
    </row>
    <row r="24" spans="2:49" ht="15" thickBot="1" x14ac:dyDescent="0.35">
      <c r="B24" s="13"/>
      <c r="C24" s="14"/>
      <c r="D24" s="14"/>
      <c r="E24" s="14"/>
      <c r="F24" s="14"/>
      <c r="G24" s="14"/>
      <c r="H24" s="14"/>
      <c r="I24" s="14"/>
      <c r="J24" s="14"/>
      <c r="L24" s="53" t="s">
        <v>81</v>
      </c>
      <c r="M24" s="52" t="s">
        <v>80</v>
      </c>
      <c r="N24" s="15"/>
      <c r="P24" s="4"/>
      <c r="Q24" s="134" t="s">
        <v>110</v>
      </c>
      <c r="R24" s="135"/>
      <c r="S24" s="71" t="s">
        <v>111</v>
      </c>
      <c r="U24" s="134" t="s">
        <v>112</v>
      </c>
      <c r="V24" s="136"/>
      <c r="X24" s="134" t="s">
        <v>115</v>
      </c>
      <c r="Y24" s="136"/>
      <c r="AM24" s="5"/>
    </row>
    <row r="25" spans="2:49" ht="15" thickBot="1" x14ac:dyDescent="0.35">
      <c r="B25" s="13"/>
      <c r="C25" s="14"/>
      <c r="D25" s="14"/>
      <c r="E25" s="14"/>
      <c r="F25" s="14"/>
      <c r="G25" s="14"/>
      <c r="H25" s="14"/>
      <c r="I25" s="14"/>
      <c r="J25" s="14"/>
      <c r="L25" s="53" t="s">
        <v>83</v>
      </c>
      <c r="M25" s="52" t="s">
        <v>82</v>
      </c>
      <c r="N25" s="15"/>
      <c r="P25" s="4"/>
      <c r="Q25" s="69" t="s">
        <v>121</v>
      </c>
      <c r="R25" s="78"/>
      <c r="S25" s="64">
        <f>2.598*R25^2</f>
        <v>0</v>
      </c>
      <c r="U25" s="75" t="s">
        <v>119</v>
      </c>
      <c r="V25" s="70">
        <f>R25^4*0.5413</f>
        <v>0</v>
      </c>
      <c r="X25" s="75" t="s">
        <v>116</v>
      </c>
      <c r="Y25" s="70">
        <f>R25*0.456</f>
        <v>0</v>
      </c>
      <c r="AM25" s="5"/>
    </row>
    <row r="26" spans="2:49" ht="15" thickBot="1" x14ac:dyDescent="0.35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55" t="s">
        <v>85</v>
      </c>
      <c r="M26" s="54" t="s">
        <v>84</v>
      </c>
      <c r="N26" s="15"/>
      <c r="P26" s="4"/>
      <c r="AM26" s="5"/>
    </row>
    <row r="27" spans="2:49" x14ac:dyDescent="0.3"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5"/>
      <c r="P27" s="4"/>
      <c r="AM27" s="5"/>
    </row>
    <row r="28" spans="2:49" ht="15" thickBot="1" x14ac:dyDescent="0.35"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5"/>
      <c r="P28" s="4"/>
      <c r="AM28" s="5"/>
      <c r="AR28" s="14" t="s">
        <v>92</v>
      </c>
      <c r="AS28" s="14"/>
      <c r="AT28" s="14"/>
      <c r="AU28" s="14"/>
      <c r="AV28" s="14"/>
      <c r="AW28" s="14"/>
    </row>
    <row r="29" spans="2:49" ht="15" thickBot="1" x14ac:dyDescent="0.35"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"/>
      <c r="P29" s="4"/>
      <c r="Q29" s="134" t="s">
        <v>110</v>
      </c>
      <c r="R29" s="135"/>
      <c r="S29" s="71" t="s">
        <v>111</v>
      </c>
      <c r="U29" s="134" t="s">
        <v>112</v>
      </c>
      <c r="V29" s="136"/>
      <c r="X29" s="134" t="s">
        <v>115</v>
      </c>
      <c r="Y29" s="136"/>
      <c r="AM29" s="5"/>
      <c r="AR29" s="14"/>
      <c r="AS29" s="14"/>
      <c r="AT29" s="14"/>
      <c r="AU29" s="14"/>
      <c r="AV29" s="14"/>
      <c r="AW29" s="14"/>
    </row>
    <row r="30" spans="2:49" ht="15" thickBot="1" x14ac:dyDescent="0.35">
      <c r="B30" s="13"/>
      <c r="C30" s="14"/>
      <c r="E30" s="14" t="s">
        <v>92</v>
      </c>
      <c r="F30" s="14"/>
      <c r="G30" s="14"/>
      <c r="H30" s="14"/>
      <c r="I30" s="14"/>
      <c r="J30" s="14"/>
      <c r="K30" s="14"/>
      <c r="L30" s="14"/>
      <c r="M30" s="14"/>
      <c r="N30" s="15"/>
      <c r="P30" s="4"/>
      <c r="Q30" s="69" t="s">
        <v>121</v>
      </c>
      <c r="R30" s="78"/>
      <c r="S30" s="64">
        <f>2.828*R30^2</f>
        <v>0</v>
      </c>
      <c r="U30" s="75" t="s">
        <v>119</v>
      </c>
      <c r="V30" s="70">
        <f>R30^4*0.6381</f>
        <v>0</v>
      </c>
      <c r="X30" s="75" t="s">
        <v>116</v>
      </c>
      <c r="Y30" s="70">
        <f>R30*0.475</f>
        <v>0</v>
      </c>
      <c r="AM30" s="5"/>
      <c r="AR30" s="19"/>
      <c r="AS30" s="41" t="s">
        <v>88</v>
      </c>
      <c r="AT30" s="42" t="s">
        <v>89</v>
      </c>
      <c r="AU30" s="36" t="s">
        <v>90</v>
      </c>
      <c r="AV30" s="19"/>
      <c r="AW30" s="104" t="s">
        <v>93</v>
      </c>
    </row>
    <row r="31" spans="2:49" ht="15" thickBot="1" x14ac:dyDescent="0.35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/>
      <c r="P31" s="4"/>
      <c r="AM31" s="5"/>
      <c r="AR31" s="23" t="s">
        <v>87</v>
      </c>
      <c r="AS31" s="61"/>
      <c r="AT31" s="62"/>
      <c r="AU31" s="63"/>
      <c r="AV31" s="14"/>
      <c r="AW31" s="102"/>
    </row>
    <row r="32" spans="2:49" ht="15" thickBot="1" x14ac:dyDescent="0.35">
      <c r="B32" s="13"/>
      <c r="C32" s="14"/>
      <c r="D32" s="14"/>
      <c r="E32" s="14"/>
      <c r="F32" s="41" t="s">
        <v>88</v>
      </c>
      <c r="G32" s="42" t="s">
        <v>89</v>
      </c>
      <c r="H32" s="36" t="s">
        <v>90</v>
      </c>
      <c r="I32" s="14"/>
      <c r="J32" s="104" t="s">
        <v>93</v>
      </c>
      <c r="K32" s="14"/>
      <c r="L32" s="14"/>
      <c r="M32" s="14"/>
      <c r="N32" s="15"/>
      <c r="P32" s="4"/>
      <c r="AM32" s="5"/>
      <c r="AR32" s="23"/>
      <c r="AS32" s="56"/>
      <c r="AT32" s="33"/>
      <c r="AU32" s="57"/>
      <c r="AV32" s="14"/>
      <c r="AW32" s="102">
        <v>11</v>
      </c>
    </row>
    <row r="33" spans="2:49" ht="15" thickBot="1" x14ac:dyDescent="0.35">
      <c r="B33" s="13"/>
      <c r="C33" s="14"/>
      <c r="D33" s="14"/>
      <c r="E33" s="23" t="s">
        <v>87</v>
      </c>
      <c r="F33" s="61">
        <f>SUM(F35:F38)/0.75</f>
        <v>40</v>
      </c>
      <c r="G33" s="62">
        <f>SUM(G35:G38)/0.75</f>
        <v>53.333333333333336</v>
      </c>
      <c r="H33" s="63">
        <f>SUM(H35:H38)/0.75</f>
        <v>46.666666666666664</v>
      </c>
      <c r="I33" s="14"/>
      <c r="J33" s="113">
        <f>SUM(H35:H38)/0.75</f>
        <v>46.666666666666664</v>
      </c>
      <c r="K33" s="14"/>
      <c r="L33" s="14"/>
      <c r="M33" s="14"/>
      <c r="N33" s="15"/>
      <c r="P33" s="4"/>
      <c r="AM33" s="5"/>
      <c r="AR33" s="23"/>
      <c r="AS33" s="56"/>
      <c r="AT33" s="33"/>
      <c r="AU33" s="57"/>
      <c r="AV33" s="14"/>
      <c r="AW33" s="102"/>
    </row>
    <row r="34" spans="2:49" ht="15" thickBot="1" x14ac:dyDescent="0.35">
      <c r="B34" s="13"/>
      <c r="C34" s="14"/>
      <c r="D34" s="14"/>
      <c r="E34" s="23"/>
      <c r="F34" s="56">
        <f>0.25*F33</f>
        <v>10</v>
      </c>
      <c r="G34" s="33">
        <f>0.25*G33</f>
        <v>13.333333333333334</v>
      </c>
      <c r="H34" s="57">
        <f>0.25*H33</f>
        <v>11.666666666666666</v>
      </c>
      <c r="I34" s="14"/>
      <c r="J34" s="102">
        <v>11.666666666666666</v>
      </c>
      <c r="K34" s="14"/>
      <c r="L34" s="14"/>
      <c r="N34" s="15"/>
      <c r="P34" s="4"/>
      <c r="Q34" s="134" t="s">
        <v>110</v>
      </c>
      <c r="R34" s="135"/>
      <c r="S34" s="71" t="s">
        <v>111</v>
      </c>
      <c r="U34" s="134" t="s">
        <v>112</v>
      </c>
      <c r="V34" s="136"/>
      <c r="X34" s="134" t="s">
        <v>115</v>
      </c>
      <c r="Y34" s="136"/>
      <c r="AM34" s="5"/>
      <c r="AR34" s="23"/>
      <c r="AS34" s="56"/>
      <c r="AT34" s="33"/>
      <c r="AU34" s="57"/>
      <c r="AV34" s="14"/>
      <c r="AW34" s="102"/>
    </row>
    <row r="35" spans="2:49" ht="15" thickBot="1" x14ac:dyDescent="0.35">
      <c r="B35" s="13"/>
      <c r="C35" s="14"/>
      <c r="D35" s="14"/>
      <c r="E35" s="23"/>
      <c r="F35" s="56">
        <f>0.15*'1. DEFINIÇÕES DE TIRA'!$M$50+2*'3. DEFINIÇÕES DOS PUNÇÕES'!F7</f>
        <v>0</v>
      </c>
      <c r="G35" s="56">
        <f>0.25*'1. DEFINIÇÕES DE TIRA'!$M$50+2*'3. DEFINIÇÕES DOS PUNÇÕES'!G7</f>
        <v>0</v>
      </c>
      <c r="H35" s="56">
        <f>0.2*'1. DEFINIÇÕES DE TIRA'!$M$50+2*'3. DEFINIÇÕES DOS PUNÇÕES'!H7</f>
        <v>0</v>
      </c>
      <c r="I35" s="14"/>
      <c r="J35" s="102"/>
      <c r="K35" s="14"/>
      <c r="L35" s="14"/>
      <c r="M35" s="14"/>
      <c r="N35" s="15"/>
      <c r="P35" s="4"/>
      <c r="Q35" s="69" t="s">
        <v>122</v>
      </c>
      <c r="R35" s="78"/>
      <c r="S35" s="64">
        <f>0.828*R35^2</f>
        <v>0</v>
      </c>
      <c r="U35" s="75" t="s">
        <v>119</v>
      </c>
      <c r="V35" s="70">
        <f>R36^4*0.0347</f>
        <v>0</v>
      </c>
      <c r="X35" s="75" t="s">
        <v>116</v>
      </c>
      <c r="Y35" s="70">
        <f>R36*0.237</f>
        <v>0</v>
      </c>
      <c r="AM35" s="5"/>
      <c r="AR35" s="23" t="s">
        <v>91</v>
      </c>
      <c r="AS35" s="56"/>
      <c r="AT35" s="33"/>
      <c r="AU35" s="57"/>
      <c r="AV35" s="14"/>
      <c r="AW35" s="102"/>
    </row>
    <row r="36" spans="2:49" ht="15" thickBot="1" x14ac:dyDescent="0.35">
      <c r="B36" s="13"/>
      <c r="C36" s="14"/>
      <c r="D36" s="14"/>
      <c r="E36" s="23"/>
      <c r="F36" s="56">
        <f>IFERROR(IF('0. PROJETO GERAL'!F7=0,0,IF(OR('0. PROJETO GERAL'!F7&lt;3,'0. PROJETO GERAL'!F7=3),6,IF(AND('0. PROJETO GERAL'!F7&gt;3,'0. PROJETO GERAL'!F7&lt;4.5),1.5+'0. PROJETO GERAL'!F7,IF(AND(OR('0. PROJETO GERAL'!F7&gt;4.5,'0. PROJETO GERAL'!F7=4.5),'0. PROJETO GERAL'!F7&lt;6.5),2+'0. PROJETO GERAL'!F7,2.5+'0. PROJETO GERAL'!F7)))),0)</f>
        <v>0</v>
      </c>
      <c r="G36" s="33">
        <f>IFERROR(IF('0. PROJETO GERAL'!F7=0,0,IF(OR('0. PROJETO GERAL'!F7&lt;3,'0. PROJETO GERAL'!F7=3),6,IF(AND('0. PROJETO GERAL'!F7&gt;3,'0. PROJETO GERAL'!F7&lt;4.5),1.5+'0. PROJETO GERAL'!F7,IF(AND(OR('0. PROJETO GERAL'!F7&gt;4.5,'0. PROJETO GERAL'!F7=4.5),'0. PROJETO GERAL'!F7&lt;6.5),2+'0. PROJETO GERAL'!F7,2.5+'0. PROJETO GERAL'!F7)))),0)</f>
        <v>0</v>
      </c>
      <c r="H36" s="57">
        <f>AVERAGE(F36,G36)</f>
        <v>0</v>
      </c>
      <c r="I36" s="14"/>
      <c r="J36" s="102"/>
      <c r="K36" s="14"/>
      <c r="L36" s="14"/>
      <c r="M36" s="14"/>
      <c r="N36" s="15"/>
      <c r="P36" s="4"/>
      <c r="Q36" s="69" t="s">
        <v>123</v>
      </c>
      <c r="R36" s="78"/>
      <c r="AM36" s="5"/>
      <c r="AR36" s="23"/>
      <c r="AS36" s="58"/>
      <c r="AT36" s="59"/>
      <c r="AU36" s="60"/>
      <c r="AV36" s="14"/>
      <c r="AW36" s="103"/>
    </row>
    <row r="37" spans="2:49" ht="15" thickBot="1" x14ac:dyDescent="0.35">
      <c r="B37" s="13"/>
      <c r="C37" s="14"/>
      <c r="D37" s="14"/>
      <c r="E37" s="23" t="s">
        <v>91</v>
      </c>
      <c r="F37" s="56">
        <v>15</v>
      </c>
      <c r="G37" s="33">
        <v>20</v>
      </c>
      <c r="H37" s="57">
        <f>AVERAGE(F37,G37)</f>
        <v>17.5</v>
      </c>
      <c r="I37" s="14"/>
      <c r="J37" s="102"/>
      <c r="K37" s="14"/>
      <c r="L37" s="14"/>
      <c r="M37" s="14"/>
      <c r="N37" s="15"/>
      <c r="P37" s="4"/>
      <c r="AM37" s="5"/>
    </row>
    <row r="38" spans="2:49" ht="15" thickBot="1" x14ac:dyDescent="0.35">
      <c r="B38" s="13"/>
      <c r="C38" s="14"/>
      <c r="D38" s="14"/>
      <c r="E38" s="23"/>
      <c r="F38" s="58">
        <v>15</v>
      </c>
      <c r="G38" s="59">
        <v>20</v>
      </c>
      <c r="H38" s="60">
        <f>AVERAGE(F38,G38)</f>
        <v>17.5</v>
      </c>
      <c r="I38" s="14"/>
      <c r="J38" s="102"/>
      <c r="K38" s="14"/>
      <c r="L38" s="14"/>
      <c r="M38" s="14"/>
      <c r="N38" s="15"/>
      <c r="P38" s="4"/>
      <c r="AM38" s="5"/>
    </row>
    <row r="39" spans="2:49" ht="15" thickBot="1" x14ac:dyDescent="0.35"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5"/>
      <c r="P39" s="4"/>
      <c r="Q39" s="134" t="s">
        <v>110</v>
      </c>
      <c r="R39" s="135"/>
      <c r="S39" s="71" t="s">
        <v>111</v>
      </c>
      <c r="U39" s="134" t="s">
        <v>112</v>
      </c>
      <c r="V39" s="136"/>
      <c r="X39" s="134" t="s">
        <v>115</v>
      </c>
      <c r="Y39" s="136"/>
      <c r="AM39" s="5"/>
    </row>
    <row r="40" spans="2:49" ht="15" thickBot="1" x14ac:dyDescent="0.35"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5"/>
      <c r="P40" s="4"/>
      <c r="Q40" s="69" t="s">
        <v>124</v>
      </c>
      <c r="R40" s="78"/>
      <c r="S40" s="64">
        <f>0.7854*R40^2</f>
        <v>0</v>
      </c>
      <c r="U40" s="75" t="s">
        <v>114</v>
      </c>
      <c r="V40" s="70">
        <f>R40^4*0.0491</f>
        <v>0</v>
      </c>
      <c r="X40" s="75" t="s">
        <v>116</v>
      </c>
      <c r="Y40" s="70">
        <f>V40/4</f>
        <v>0</v>
      </c>
      <c r="AM40" s="5"/>
    </row>
    <row r="41" spans="2:49" ht="15" customHeight="1" x14ac:dyDescent="0.3">
      <c r="B41" s="13"/>
      <c r="C41" s="14"/>
      <c r="D41" s="14"/>
      <c r="E41" s="138" t="s">
        <v>125</v>
      </c>
      <c r="F41" s="138"/>
      <c r="G41" s="138"/>
      <c r="H41" s="138"/>
      <c r="I41" s="138"/>
      <c r="J41" s="138"/>
      <c r="K41" s="14"/>
      <c r="L41" s="14"/>
      <c r="M41" s="14"/>
      <c r="N41" s="15"/>
      <c r="P41" s="4"/>
      <c r="AM41" s="5"/>
      <c r="AU41" t="s">
        <v>46</v>
      </c>
    </row>
    <row r="42" spans="2:49" x14ac:dyDescent="0.3">
      <c r="B42" s="13"/>
      <c r="C42" s="14"/>
      <c r="D42" s="14"/>
      <c r="E42" s="138"/>
      <c r="F42" s="138"/>
      <c r="G42" s="138"/>
      <c r="H42" s="138"/>
      <c r="I42" s="138"/>
      <c r="J42" s="138"/>
      <c r="K42" s="14"/>
      <c r="L42" s="14"/>
      <c r="M42" s="14"/>
      <c r="N42" s="15"/>
      <c r="P42" s="4"/>
      <c r="AM42" s="5"/>
    </row>
    <row r="43" spans="2:49" x14ac:dyDescent="0.3">
      <c r="B43" s="13"/>
      <c r="C43" s="14"/>
      <c r="D43" s="14"/>
      <c r="E43" s="138"/>
      <c r="F43" s="138"/>
      <c r="G43" s="138"/>
      <c r="H43" s="138"/>
      <c r="I43" s="138"/>
      <c r="J43" s="138"/>
      <c r="K43" s="14"/>
      <c r="L43" s="14"/>
      <c r="M43" s="14"/>
      <c r="N43" s="15"/>
      <c r="P43" s="4"/>
      <c r="AM43" s="5"/>
    </row>
    <row r="44" spans="2:49" ht="15" thickBot="1" x14ac:dyDescent="0.35"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5"/>
      <c r="P44" s="4"/>
      <c r="AM44" s="5"/>
    </row>
    <row r="45" spans="2:49" ht="15" thickBot="1" x14ac:dyDescent="0.35">
      <c r="B45" s="13"/>
      <c r="C45" s="14"/>
      <c r="D45" s="14"/>
      <c r="E45" s="14" t="s">
        <v>94</v>
      </c>
      <c r="F45" s="14"/>
      <c r="G45" s="14"/>
      <c r="H45" s="14"/>
      <c r="I45" s="14"/>
      <c r="J45" s="14"/>
      <c r="K45" s="14"/>
      <c r="L45" s="14"/>
      <c r="M45" s="14"/>
      <c r="N45" s="15"/>
      <c r="P45" s="4"/>
      <c r="Q45" s="134" t="s">
        <v>110</v>
      </c>
      <c r="R45" s="135"/>
      <c r="S45" s="71" t="s">
        <v>111</v>
      </c>
      <c r="U45" s="134" t="s">
        <v>112</v>
      </c>
      <c r="V45" s="136"/>
      <c r="X45" s="134" t="s">
        <v>115</v>
      </c>
      <c r="Y45" s="136"/>
      <c r="AM45" s="5"/>
    </row>
    <row r="46" spans="2:49" ht="15" thickBot="1" x14ac:dyDescent="0.35">
      <c r="B46" s="13"/>
      <c r="C46" s="14"/>
      <c r="D46" s="14"/>
      <c r="F46" s="14"/>
      <c r="G46" s="14"/>
      <c r="H46" s="14"/>
      <c r="I46" s="14"/>
      <c r="J46" s="14"/>
      <c r="K46" s="14"/>
      <c r="L46" s="14"/>
      <c r="M46" s="14"/>
      <c r="N46" s="15"/>
      <c r="P46" s="4"/>
      <c r="Q46" s="69" t="s">
        <v>124</v>
      </c>
      <c r="R46" s="78"/>
      <c r="S46" s="64">
        <f>0.393*R46^2</f>
        <v>0</v>
      </c>
      <c r="U46" s="72" t="s">
        <v>119</v>
      </c>
      <c r="V46" s="66">
        <f>(R46/2)^4*0.1098</f>
        <v>0</v>
      </c>
      <c r="X46" s="75" t="s">
        <v>116</v>
      </c>
      <c r="Y46" s="70">
        <f>V46*0.132</f>
        <v>0</v>
      </c>
      <c r="AM46" s="5"/>
    </row>
    <row r="47" spans="2:49" ht="15" thickBot="1" x14ac:dyDescent="0.35">
      <c r="B47" s="13"/>
      <c r="C47" s="14"/>
      <c r="D47" s="14"/>
      <c r="E47" s="14"/>
      <c r="F47" s="14"/>
      <c r="G47" s="139" t="s">
        <v>99</v>
      </c>
      <c r="H47" s="140"/>
      <c r="I47" s="140"/>
      <c r="J47" s="140"/>
      <c r="K47" s="140"/>
      <c r="L47" s="160"/>
      <c r="N47" s="15"/>
      <c r="P47" s="4"/>
      <c r="U47" s="73" t="s">
        <v>114</v>
      </c>
      <c r="V47" s="68">
        <f>(R46/2)^4*0.3927</f>
        <v>0</v>
      </c>
      <c r="AM47" s="5"/>
    </row>
    <row r="48" spans="2:49" ht="15" thickBot="1" x14ac:dyDescent="0.35">
      <c r="B48" s="13"/>
      <c r="C48" s="14"/>
      <c r="D48" s="14"/>
      <c r="E48" s="14"/>
      <c r="F48" s="14"/>
      <c r="N48" s="15"/>
      <c r="P48" s="4"/>
      <c r="AM48" s="5"/>
    </row>
    <row r="49" spans="2:39" ht="15" thickBot="1" x14ac:dyDescent="0.35">
      <c r="B49" s="13"/>
      <c r="C49" s="14"/>
      <c r="D49" s="14"/>
      <c r="K49" s="14"/>
      <c r="L49" s="14"/>
      <c r="N49" s="15"/>
      <c r="P49" s="4"/>
      <c r="Q49" s="134" t="s">
        <v>110</v>
      </c>
      <c r="R49" s="135"/>
      <c r="S49" s="71" t="s">
        <v>111</v>
      </c>
      <c r="U49" s="134" t="s">
        <v>112</v>
      </c>
      <c r="V49" s="136"/>
      <c r="X49" s="134" t="s">
        <v>115</v>
      </c>
      <c r="Y49" s="136"/>
      <c r="AM49" s="5"/>
    </row>
    <row r="50" spans="2:39" ht="15" thickBot="1" x14ac:dyDescent="0.35">
      <c r="B50" s="13"/>
      <c r="C50" s="14"/>
      <c r="D50" s="14"/>
      <c r="E50" s="24" t="s">
        <v>96</v>
      </c>
      <c r="F50" s="24">
        <v>1</v>
      </c>
      <c r="G50" s="24">
        <v>2</v>
      </c>
      <c r="H50" s="24">
        <v>3</v>
      </c>
      <c r="I50" s="24">
        <v>4</v>
      </c>
      <c r="J50" s="24">
        <v>5</v>
      </c>
      <c r="K50" s="24">
        <v>6</v>
      </c>
      <c r="L50" s="24">
        <v>7</v>
      </c>
      <c r="N50" s="15"/>
      <c r="P50" s="4"/>
      <c r="Q50" s="69" t="s">
        <v>123</v>
      </c>
      <c r="R50" s="78"/>
      <c r="S50" s="64">
        <f>PI()*R50*R51</f>
        <v>0</v>
      </c>
      <c r="U50" s="72" t="s">
        <v>119</v>
      </c>
      <c r="V50" s="66">
        <f>PI()*R51^3*R50/4</f>
        <v>0</v>
      </c>
      <c r="X50" s="75" t="s">
        <v>116</v>
      </c>
      <c r="Y50" s="70" t="e">
        <f>V51/S50</f>
        <v>#DIV/0!</v>
      </c>
      <c r="AM50" s="5"/>
    </row>
    <row r="51" spans="2:39" ht="15" thickBot="1" x14ac:dyDescent="0.35">
      <c r="B51" s="13"/>
      <c r="C51" s="14"/>
      <c r="D51" s="14"/>
      <c r="E51" s="24" t="s">
        <v>137</v>
      </c>
      <c r="F51" s="77"/>
      <c r="G51" s="77"/>
      <c r="H51" s="77"/>
      <c r="I51" s="77"/>
      <c r="J51" s="77"/>
      <c r="K51" s="77"/>
      <c r="L51" s="77"/>
      <c r="N51" s="15"/>
      <c r="P51" s="4"/>
      <c r="Q51" s="69" t="s">
        <v>118</v>
      </c>
      <c r="R51" s="78"/>
      <c r="U51" s="73" t="s">
        <v>114</v>
      </c>
      <c r="V51" s="68">
        <f>PI()*(R50+R51)*R51^3/4</f>
        <v>0</v>
      </c>
      <c r="AM51" s="5"/>
    </row>
    <row r="52" spans="2:39" x14ac:dyDescent="0.3">
      <c r="B52" s="13"/>
      <c r="C52" s="14"/>
      <c r="D52" s="14"/>
      <c r="E52" s="24" t="s">
        <v>98</v>
      </c>
      <c r="F52" s="77"/>
      <c r="G52" s="77"/>
      <c r="H52" s="77"/>
      <c r="I52" s="77"/>
      <c r="J52" s="77"/>
      <c r="K52" s="77"/>
      <c r="L52" s="77"/>
      <c r="N52" s="15"/>
      <c r="P52" s="4"/>
      <c r="AM52" s="5"/>
    </row>
    <row r="53" spans="2:39" x14ac:dyDescent="0.3">
      <c r="B53" s="13"/>
      <c r="C53" s="14"/>
      <c r="D53" s="14"/>
      <c r="E53" s="24" t="s">
        <v>100</v>
      </c>
      <c r="F53" s="24">
        <f>IFERROR(F51/F52,0)</f>
        <v>0</v>
      </c>
      <c r="G53" s="24">
        <f>IFERROR(G51/G52,0)</f>
        <v>0</v>
      </c>
      <c r="H53" s="24">
        <f t="shared" ref="H53:L53" si="0">IFERROR(H51/H52,0)</f>
        <v>0</v>
      </c>
      <c r="I53" s="24">
        <f t="shared" si="0"/>
        <v>0</v>
      </c>
      <c r="J53" s="24">
        <f t="shared" si="0"/>
        <v>0</v>
      </c>
      <c r="K53" s="24">
        <f t="shared" si="0"/>
        <v>0</v>
      </c>
      <c r="L53" s="24">
        <f t="shared" si="0"/>
        <v>0</v>
      </c>
      <c r="N53" s="15"/>
      <c r="P53" s="4"/>
      <c r="AM53" s="5"/>
    </row>
    <row r="54" spans="2:39" x14ac:dyDescent="0.3"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5"/>
      <c r="P54" s="4"/>
      <c r="AM54" s="5"/>
    </row>
    <row r="55" spans="2:39" x14ac:dyDescent="0.3"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5"/>
      <c r="P55" s="4"/>
      <c r="AM55" s="5"/>
    </row>
    <row r="56" spans="2:39" x14ac:dyDescent="0.3"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5"/>
      <c r="P56" s="4"/>
      <c r="AM56" s="5"/>
    </row>
    <row r="57" spans="2:39" x14ac:dyDescent="0.3">
      <c r="B57" s="13"/>
      <c r="C57" s="14"/>
      <c r="D57" s="14"/>
      <c r="E57" s="14" t="s">
        <v>95</v>
      </c>
      <c r="F57" s="14"/>
      <c r="G57" s="14"/>
      <c r="H57" s="14"/>
      <c r="I57" s="14"/>
      <c r="J57" s="14"/>
      <c r="K57" s="14"/>
      <c r="L57" s="14"/>
      <c r="M57" s="14"/>
      <c r="N57" s="15"/>
      <c r="P57" s="4"/>
      <c r="AM57" s="5"/>
    </row>
    <row r="58" spans="2:39" x14ac:dyDescent="0.3">
      <c r="B58" s="1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5"/>
      <c r="P58" s="4"/>
      <c r="AM58" s="5"/>
    </row>
    <row r="59" spans="2:39" x14ac:dyDescent="0.3">
      <c r="B59" s="13"/>
      <c r="C59" s="14"/>
      <c r="D59" s="14"/>
      <c r="E59" s="138" t="s">
        <v>234</v>
      </c>
      <c r="F59" s="138"/>
      <c r="G59" s="138"/>
      <c r="H59" s="138"/>
      <c r="I59" s="138"/>
      <c r="J59" s="138"/>
      <c r="K59" s="14"/>
      <c r="L59" s="14"/>
      <c r="M59" s="14"/>
      <c r="N59" s="15"/>
      <c r="P59" s="4"/>
      <c r="AM59" s="5"/>
    </row>
    <row r="60" spans="2:39" x14ac:dyDescent="0.3">
      <c r="B60" s="13"/>
      <c r="C60" s="14"/>
      <c r="D60" s="14"/>
      <c r="E60" s="138"/>
      <c r="F60" s="138"/>
      <c r="G60" s="138"/>
      <c r="H60" s="138"/>
      <c r="I60" s="138"/>
      <c r="J60" s="138"/>
      <c r="K60" s="14"/>
      <c r="L60" s="14"/>
      <c r="M60" s="14"/>
      <c r="N60" s="15"/>
      <c r="P60" s="4"/>
      <c r="AM60" s="5"/>
    </row>
    <row r="61" spans="2:39" x14ac:dyDescent="0.3">
      <c r="B61" s="13"/>
      <c r="C61" s="14"/>
      <c r="D61" s="14"/>
      <c r="E61" s="138"/>
      <c r="F61" s="138"/>
      <c r="G61" s="138"/>
      <c r="H61" s="138"/>
      <c r="I61" s="138"/>
      <c r="J61" s="138"/>
      <c r="K61" s="14"/>
      <c r="L61" s="14"/>
      <c r="M61" s="14"/>
      <c r="N61" s="15"/>
      <c r="P61" s="4"/>
      <c r="AM61" s="5"/>
    </row>
    <row r="62" spans="2:39" x14ac:dyDescent="0.3">
      <c r="B62" s="13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5"/>
      <c r="P62" s="4"/>
      <c r="AM62" s="5"/>
    </row>
    <row r="63" spans="2:39" ht="15" thickBot="1" x14ac:dyDescent="0.35">
      <c r="B63" s="13"/>
      <c r="C63" s="14"/>
      <c r="D63" s="14"/>
      <c r="E63" s="14"/>
      <c r="F63" s="14"/>
      <c r="G63" s="14"/>
      <c r="L63" s="14"/>
      <c r="N63" s="15"/>
      <c r="P63" s="4"/>
      <c r="AM63" s="5"/>
    </row>
    <row r="64" spans="2:39" ht="15" thickBot="1" x14ac:dyDescent="0.35">
      <c r="B64" s="13"/>
      <c r="C64" s="14"/>
      <c r="D64" s="14"/>
      <c r="E64" s="14"/>
      <c r="F64" s="14"/>
      <c r="G64" s="14"/>
      <c r="H64" s="141" t="s">
        <v>105</v>
      </c>
      <c r="I64" s="142"/>
      <c r="J64" s="142"/>
      <c r="K64" s="143"/>
      <c r="L64" s="14"/>
      <c r="M64" s="14"/>
      <c r="N64" s="15"/>
      <c r="P64" s="4"/>
      <c r="AM64" s="5"/>
    </row>
    <row r="65" spans="2:39" x14ac:dyDescent="0.3">
      <c r="B65" s="13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5"/>
      <c r="P65" s="4"/>
      <c r="AM65" s="5"/>
    </row>
    <row r="66" spans="2:39" x14ac:dyDescent="0.3"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5"/>
      <c r="P66" s="4"/>
      <c r="AM66" s="5"/>
    </row>
    <row r="67" spans="2:39" x14ac:dyDescent="0.3">
      <c r="B67" s="13"/>
      <c r="C67" s="14"/>
      <c r="D67" s="14"/>
      <c r="E67" s="24" t="s">
        <v>96</v>
      </c>
      <c r="F67" s="24">
        <v>1</v>
      </c>
      <c r="G67" s="24">
        <v>2</v>
      </c>
      <c r="H67" s="24">
        <v>3</v>
      </c>
      <c r="I67" s="24">
        <v>4</v>
      </c>
      <c r="J67" s="24">
        <v>5</v>
      </c>
      <c r="K67" s="24">
        <v>6</v>
      </c>
      <c r="L67" s="24">
        <v>7</v>
      </c>
      <c r="M67" s="14"/>
      <c r="N67" s="15"/>
      <c r="P67" s="4"/>
      <c r="AM67" s="5"/>
    </row>
    <row r="68" spans="2:39" x14ac:dyDescent="0.3">
      <c r="B68" s="13"/>
      <c r="C68" s="14"/>
      <c r="D68" s="14"/>
      <c r="E68" s="24" t="s">
        <v>97</v>
      </c>
      <c r="F68" s="77"/>
      <c r="G68" s="77"/>
      <c r="H68" s="77"/>
      <c r="I68" s="77"/>
      <c r="J68" s="101"/>
      <c r="K68" s="101"/>
      <c r="L68" s="101"/>
      <c r="M68" s="14"/>
      <c r="N68" s="15"/>
      <c r="P68" s="4"/>
      <c r="AM68" s="5"/>
    </row>
    <row r="69" spans="2:39" x14ac:dyDescent="0.3">
      <c r="B69" s="13"/>
      <c r="C69" s="14"/>
      <c r="D69" s="14"/>
      <c r="E69" s="24" t="s">
        <v>104</v>
      </c>
      <c r="F69" s="101"/>
      <c r="G69" s="101"/>
      <c r="H69" s="101"/>
      <c r="I69" s="101"/>
      <c r="J69" s="101"/>
      <c r="K69" s="101"/>
      <c r="L69" s="101"/>
      <c r="M69" s="14"/>
      <c r="N69" s="15"/>
      <c r="P69" s="4"/>
      <c r="AM69" s="5"/>
    </row>
    <row r="70" spans="2:39" x14ac:dyDescent="0.3">
      <c r="B70" s="13"/>
      <c r="C70" s="14"/>
      <c r="D70" s="14"/>
      <c r="E70" s="24"/>
      <c r="F70" s="101"/>
      <c r="G70" s="101"/>
      <c r="H70" s="101"/>
      <c r="I70" s="101"/>
      <c r="J70" s="101"/>
      <c r="K70" s="101"/>
      <c r="L70" s="101"/>
      <c r="M70" s="14"/>
      <c r="N70" s="15"/>
      <c r="P70" s="4"/>
      <c r="AM70" s="5"/>
    </row>
    <row r="71" spans="2:39" x14ac:dyDescent="0.3">
      <c r="B71" s="13"/>
      <c r="C71" s="14"/>
      <c r="D71" s="14"/>
      <c r="E71" s="24"/>
      <c r="F71" s="24">
        <f>IFERROR(SQRT((PI()^2 * F69*F70)/F68),0)</f>
        <v>0</v>
      </c>
      <c r="G71" s="24">
        <f t="shared" ref="G71:L71" si="1">IFERROR(SQRT((PI()^2 * G69*G70)/G68),0)</f>
        <v>0</v>
      </c>
      <c r="H71" s="24">
        <f t="shared" si="1"/>
        <v>0</v>
      </c>
      <c r="I71" s="24">
        <f t="shared" si="1"/>
        <v>0</v>
      </c>
      <c r="J71" s="24">
        <f t="shared" si="1"/>
        <v>0</v>
      </c>
      <c r="K71" s="24">
        <f t="shared" si="1"/>
        <v>0</v>
      </c>
      <c r="L71" s="24">
        <f t="shared" si="1"/>
        <v>0</v>
      </c>
      <c r="M71" s="14"/>
      <c r="N71" s="15"/>
      <c r="P71" s="4"/>
      <c r="AM71" s="5"/>
    </row>
    <row r="72" spans="2:39" x14ac:dyDescent="0.3"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5"/>
      <c r="P72" s="4"/>
      <c r="AM72" s="5"/>
    </row>
    <row r="73" spans="2:39" x14ac:dyDescent="0.3">
      <c r="B73" s="13"/>
      <c r="C73" s="14"/>
      <c r="D73" s="14"/>
      <c r="E73" s="14"/>
      <c r="F73" s="14" t="s">
        <v>102</v>
      </c>
      <c r="G73" s="14"/>
      <c r="H73" s="14"/>
      <c r="I73" s="14"/>
      <c r="J73" s="14"/>
      <c r="K73" s="14"/>
      <c r="L73" s="14"/>
      <c r="M73" s="14"/>
      <c r="N73" s="15"/>
      <c r="P73" s="4"/>
      <c r="AM73" s="5"/>
    </row>
    <row r="74" spans="2:39" x14ac:dyDescent="0.3">
      <c r="B74" s="13"/>
      <c r="C74" s="14"/>
      <c r="D74" s="14"/>
      <c r="E74" s="14"/>
      <c r="F74" s="14"/>
      <c r="G74" s="14"/>
      <c r="H74" s="14"/>
      <c r="I74" s="14"/>
      <c r="K74" s="14"/>
      <c r="L74" s="14"/>
      <c r="M74" s="14"/>
      <c r="N74" s="15"/>
      <c r="P74" s="4"/>
      <c r="AM74" s="5"/>
    </row>
    <row r="75" spans="2:39" x14ac:dyDescent="0.3">
      <c r="B75" s="13"/>
      <c r="C75" s="14"/>
      <c r="D75" s="14"/>
      <c r="E75" s="24" t="s">
        <v>96</v>
      </c>
      <c r="F75" s="24">
        <v>1</v>
      </c>
      <c r="G75" s="24">
        <v>2</v>
      </c>
      <c r="H75" s="24">
        <v>3</v>
      </c>
      <c r="I75" s="24">
        <v>4</v>
      </c>
      <c r="J75" s="24">
        <v>5</v>
      </c>
      <c r="K75" s="24">
        <v>6</v>
      </c>
      <c r="L75" s="24">
        <v>7</v>
      </c>
      <c r="M75" s="14"/>
      <c r="N75" s="15"/>
      <c r="P75" s="4"/>
      <c r="AM75" s="5"/>
    </row>
    <row r="76" spans="2:39" x14ac:dyDescent="0.3">
      <c r="B76" s="13"/>
      <c r="C76" s="14"/>
      <c r="D76" s="14"/>
      <c r="E76" s="24"/>
      <c r="F76" s="101"/>
      <c r="G76" s="101"/>
      <c r="H76" s="101"/>
      <c r="I76" s="101"/>
      <c r="J76" s="101"/>
      <c r="K76" s="101"/>
      <c r="L76" s="101"/>
      <c r="M76" s="14"/>
      <c r="N76" s="15"/>
      <c r="P76" s="4"/>
      <c r="AM76" s="5"/>
    </row>
    <row r="77" spans="2:39" x14ac:dyDescent="0.3">
      <c r="B77" s="13"/>
      <c r="C77" s="14"/>
      <c r="D77" s="14"/>
      <c r="E77" s="24"/>
      <c r="F77" s="101"/>
      <c r="G77" s="101"/>
      <c r="H77" s="101"/>
      <c r="I77" s="101"/>
      <c r="J77" s="101"/>
      <c r="K77" s="101"/>
      <c r="L77" s="101"/>
      <c r="M77" s="14"/>
      <c r="N77" s="15"/>
      <c r="P77" s="4"/>
      <c r="AM77" s="5"/>
    </row>
    <row r="78" spans="2:39" x14ac:dyDescent="0.3">
      <c r="B78" s="13"/>
      <c r="C78" s="14"/>
      <c r="D78" s="14"/>
      <c r="E78" s="65" t="s">
        <v>103</v>
      </c>
      <c r="F78" s="24">
        <f>IFERROR(F77/F76,0)</f>
        <v>0</v>
      </c>
      <c r="G78" s="24">
        <f t="shared" ref="G78:L78" si="2">IFERROR(G77/G76,0)</f>
        <v>0</v>
      </c>
      <c r="H78" s="24">
        <f t="shared" si="2"/>
        <v>0</v>
      </c>
      <c r="I78" s="24">
        <f t="shared" si="2"/>
        <v>0</v>
      </c>
      <c r="J78" s="24">
        <f t="shared" si="2"/>
        <v>0</v>
      </c>
      <c r="K78" s="24">
        <f t="shared" si="2"/>
        <v>0</v>
      </c>
      <c r="L78" s="24">
        <f t="shared" si="2"/>
        <v>0</v>
      </c>
      <c r="M78" s="14"/>
      <c r="N78" s="15"/>
      <c r="P78" s="4"/>
      <c r="AM78" s="5"/>
    </row>
    <row r="79" spans="2:39" x14ac:dyDescent="0.3">
      <c r="B79" s="13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5"/>
      <c r="P79" s="4"/>
      <c r="AM79" s="5"/>
    </row>
    <row r="80" spans="2:39" x14ac:dyDescent="0.3">
      <c r="B80" s="13"/>
      <c r="C80" s="14"/>
      <c r="D80" s="14"/>
      <c r="E80" s="14" t="s">
        <v>106</v>
      </c>
      <c r="F80" s="14"/>
      <c r="G80" s="14"/>
      <c r="H80" s="14"/>
      <c r="I80" s="14"/>
      <c r="J80" s="14"/>
      <c r="K80" s="14"/>
      <c r="L80" s="14"/>
      <c r="M80" s="14"/>
      <c r="N80" s="15"/>
      <c r="P80" s="4"/>
      <c r="AM80" s="5"/>
    </row>
    <row r="81" spans="2:39" x14ac:dyDescent="0.3">
      <c r="B81" s="13"/>
      <c r="C81" s="14"/>
      <c r="D81" s="14"/>
      <c r="F81" s="14"/>
      <c r="G81" s="14"/>
      <c r="H81" s="14"/>
      <c r="I81" s="14"/>
      <c r="J81" s="14"/>
      <c r="K81" s="14"/>
      <c r="L81" s="14"/>
      <c r="M81" s="14"/>
      <c r="N81" s="15"/>
      <c r="P81" s="4"/>
      <c r="AM81" s="5"/>
    </row>
    <row r="82" spans="2:39" x14ac:dyDescent="0.3">
      <c r="B82" s="13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5"/>
      <c r="P82" s="4"/>
      <c r="AM82" s="5"/>
    </row>
    <row r="83" spans="2:39" x14ac:dyDescent="0.3">
      <c r="B83" s="13"/>
      <c r="C83" s="14"/>
      <c r="D83" s="14"/>
      <c r="E83" s="14"/>
      <c r="F83" s="14"/>
      <c r="G83" s="14"/>
      <c r="H83" s="14" t="s">
        <v>107</v>
      </c>
      <c r="I83" s="14" t="s">
        <v>109</v>
      </c>
      <c r="J83" s="14"/>
      <c r="K83" s="14"/>
      <c r="L83" s="14"/>
      <c r="M83" s="14"/>
      <c r="N83" s="15"/>
      <c r="P83" s="4"/>
      <c r="AM83" s="5"/>
    </row>
    <row r="84" spans="2:39" x14ac:dyDescent="0.3"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5"/>
      <c r="P84" s="4"/>
      <c r="AM84" s="5"/>
    </row>
    <row r="85" spans="2:39" x14ac:dyDescent="0.3">
      <c r="B85" s="13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5"/>
      <c r="P85" s="4"/>
      <c r="AM85" s="5"/>
    </row>
    <row r="86" spans="2:39" x14ac:dyDescent="0.3">
      <c r="B86" s="13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5"/>
      <c r="P86" s="4"/>
      <c r="AM86" s="5"/>
    </row>
    <row r="87" spans="2:39" x14ac:dyDescent="0.3">
      <c r="B87" s="13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5"/>
      <c r="P87" s="4"/>
      <c r="AM87" s="5"/>
    </row>
    <row r="88" spans="2:39" x14ac:dyDescent="0.3">
      <c r="B88" s="13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5"/>
      <c r="P88" s="4"/>
      <c r="AM88" s="5"/>
    </row>
    <row r="89" spans="2:39" x14ac:dyDescent="0.3">
      <c r="B89" s="13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5"/>
      <c r="P89" s="4"/>
      <c r="AM89" s="5"/>
    </row>
    <row r="90" spans="2:39" x14ac:dyDescent="0.3"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5"/>
      <c r="P90" s="4"/>
      <c r="AM90" s="5"/>
    </row>
    <row r="91" spans="2:39" x14ac:dyDescent="0.3"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5"/>
      <c r="P91" s="4"/>
      <c r="AM91" s="5"/>
    </row>
    <row r="92" spans="2:39" x14ac:dyDescent="0.3">
      <c r="B92" s="13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5"/>
      <c r="P92" s="4"/>
      <c r="AM92" s="5"/>
    </row>
    <row r="93" spans="2:39" x14ac:dyDescent="0.3">
      <c r="B93" s="13"/>
      <c r="C93" s="14"/>
      <c r="D93" s="14"/>
      <c r="E93" s="14"/>
      <c r="F93" s="14"/>
      <c r="G93" s="16" t="s">
        <v>108</v>
      </c>
      <c r="H93" s="14"/>
      <c r="I93" s="14"/>
      <c r="J93" s="14"/>
      <c r="K93" s="14"/>
      <c r="L93" s="14"/>
      <c r="M93" s="14"/>
      <c r="N93" s="15"/>
      <c r="P93" s="4"/>
      <c r="AM93" s="5"/>
    </row>
    <row r="94" spans="2:39" x14ac:dyDescent="0.3">
      <c r="B94" s="13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5"/>
      <c r="P94" s="4"/>
      <c r="AM94" s="5"/>
    </row>
    <row r="95" spans="2:39" x14ac:dyDescent="0.3">
      <c r="B95" s="13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5"/>
      <c r="P95" s="4"/>
      <c r="AM95" s="5"/>
    </row>
    <row r="96" spans="2:39" x14ac:dyDescent="0.3">
      <c r="B96" s="13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5"/>
      <c r="P96" s="4"/>
      <c r="AM96" s="5"/>
    </row>
    <row r="97" spans="2:39" x14ac:dyDescent="0.3">
      <c r="B97" s="13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5"/>
      <c r="P97" s="4"/>
      <c r="AM97" s="5"/>
    </row>
    <row r="98" spans="2:39" x14ac:dyDescent="0.3">
      <c r="B98" s="13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5"/>
      <c r="P98" s="4"/>
      <c r="AM98" s="5"/>
    </row>
    <row r="99" spans="2:39" x14ac:dyDescent="0.3">
      <c r="B99" s="13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5"/>
      <c r="P99" s="4"/>
      <c r="AM99" s="5"/>
    </row>
    <row r="100" spans="2:39" x14ac:dyDescent="0.3">
      <c r="B100" s="13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5"/>
      <c r="P100" s="4"/>
      <c r="AM100" s="5"/>
    </row>
    <row r="101" spans="2:39" x14ac:dyDescent="0.3">
      <c r="B101" s="13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5"/>
      <c r="P101" s="4"/>
      <c r="AM101" s="5"/>
    </row>
    <row r="102" spans="2:39" x14ac:dyDescent="0.3">
      <c r="B102" s="13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5"/>
      <c r="P102" s="4"/>
      <c r="AM102" s="5"/>
    </row>
    <row r="103" spans="2:39" x14ac:dyDescent="0.3">
      <c r="B103" s="13"/>
      <c r="C103" s="14"/>
      <c r="D103" s="14"/>
      <c r="E103" s="14"/>
      <c r="F103" s="14"/>
      <c r="G103" s="16" t="s">
        <v>108</v>
      </c>
      <c r="H103" s="14"/>
      <c r="I103" s="14"/>
      <c r="J103" s="14"/>
      <c r="K103" s="14"/>
      <c r="L103" s="14"/>
      <c r="M103" s="14"/>
      <c r="N103" s="15"/>
      <c r="P103" s="4"/>
      <c r="AM103" s="5"/>
    </row>
    <row r="104" spans="2:39" x14ac:dyDescent="0.3">
      <c r="B104" s="13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5"/>
      <c r="P104" s="4"/>
      <c r="AM104" s="5"/>
    </row>
    <row r="105" spans="2:39" ht="14.4" customHeight="1" thickBot="1" x14ac:dyDescent="0.35">
      <c r="B105" s="20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2"/>
      <c r="P105" s="7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9"/>
    </row>
  </sheetData>
  <mergeCells count="32">
    <mergeCell ref="X3:Y3"/>
    <mergeCell ref="Q10:R10"/>
    <mergeCell ref="U10:V10"/>
    <mergeCell ref="X10:Y10"/>
    <mergeCell ref="Q16:R16"/>
    <mergeCell ref="U16:V16"/>
    <mergeCell ref="X16:Y16"/>
    <mergeCell ref="E59:J61"/>
    <mergeCell ref="G47:K47"/>
    <mergeCell ref="H64:K64"/>
    <mergeCell ref="Q3:R3"/>
    <mergeCell ref="U3:V3"/>
    <mergeCell ref="Q24:R24"/>
    <mergeCell ref="U24:V24"/>
    <mergeCell ref="Q45:R45"/>
    <mergeCell ref="U45:V45"/>
    <mergeCell ref="Q29:R29"/>
    <mergeCell ref="U29:V29"/>
    <mergeCell ref="Q34:R34"/>
    <mergeCell ref="U34:V34"/>
    <mergeCell ref="Q39:R39"/>
    <mergeCell ref="U39:V39"/>
    <mergeCell ref="Q49:R49"/>
    <mergeCell ref="U49:V49"/>
    <mergeCell ref="X49:Y49"/>
    <mergeCell ref="D6:K6"/>
    <mergeCell ref="E41:J43"/>
    <mergeCell ref="X24:Y24"/>
    <mergeCell ref="X45:Y45"/>
    <mergeCell ref="X29:Y29"/>
    <mergeCell ref="X34:Y34"/>
    <mergeCell ref="X39:Y39"/>
  </mergeCells>
  <conditionalFormatting sqref="F53:L53">
    <cfRule type="cellIs" dxfId="12" priority="12" operator="greaterThan">
      <formula>$L$47</formula>
    </cfRule>
  </conditionalFormatting>
  <conditionalFormatting sqref="F78:L78">
    <cfRule type="cellIs" dxfId="11" priority="8" operator="greaterThan">
      <formula>100</formula>
    </cfRule>
  </conditionalFormatting>
  <conditionalFormatting sqref="J33">
    <cfRule type="cellIs" dxfId="10" priority="1" operator="between">
      <formula>$F$37</formula>
      <formula>$G$37</formula>
    </cfRule>
  </conditionalFormatting>
  <conditionalFormatting sqref="J34">
    <cfRule type="cellIs" dxfId="9" priority="19" operator="between">
      <formula>$F$34</formula>
      <formula>$G$34</formula>
    </cfRule>
  </conditionalFormatting>
  <conditionalFormatting sqref="J35">
    <cfRule type="cellIs" dxfId="8" priority="18" operator="between">
      <formula>$F$35</formula>
      <formula>$G$35</formula>
    </cfRule>
  </conditionalFormatting>
  <conditionalFormatting sqref="J36">
    <cfRule type="cellIs" dxfId="7" priority="15" operator="between">
      <formula>$F$36</formula>
      <formula>$G$36</formula>
    </cfRule>
  </conditionalFormatting>
  <conditionalFormatting sqref="J37:J38">
    <cfRule type="cellIs" dxfId="6" priority="14" operator="between">
      <formula>$F$37</formula>
      <formula>$G$37</formula>
    </cfRule>
  </conditionalFormatting>
  <conditionalFormatting sqref="AW31">
    <cfRule type="cellIs" dxfId="5" priority="5" operator="between">
      <formula>$F$33</formula>
      <formula>$G$33</formula>
    </cfRule>
  </conditionalFormatting>
  <conditionalFormatting sqref="AW32">
    <cfRule type="cellIs" dxfId="4" priority="7" operator="between">
      <formula>$F$34</formula>
      <formula>$G$34</formula>
    </cfRule>
  </conditionalFormatting>
  <conditionalFormatting sqref="AW33">
    <cfRule type="cellIs" dxfId="3" priority="6" operator="between">
      <formula>$F$35</formula>
      <formula>$G$35</formula>
    </cfRule>
  </conditionalFormatting>
  <conditionalFormatting sqref="AW34">
    <cfRule type="cellIs" dxfId="2" priority="4" operator="between">
      <formula>$F$36</formula>
      <formula>$G$36</formula>
    </cfRule>
  </conditionalFormatting>
  <conditionalFormatting sqref="AW35">
    <cfRule type="cellIs" dxfId="1" priority="3" operator="between">
      <formula>$F$37</formula>
      <formula>$G$37</formula>
    </cfRule>
  </conditionalFormatting>
  <conditionalFormatting sqref="AW36">
    <cfRule type="cellIs" dxfId="0" priority="2" operator="between">
      <formula>$F$38</formula>
      <formula>$G$38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10A77-7DE8-40FE-8FB3-C24537342702}">
  <dimension ref="B1:L41"/>
  <sheetViews>
    <sheetView showGridLines="0" topLeftCell="A16" zoomScale="80" zoomScaleNormal="80" workbookViewId="0">
      <selection activeCell="D10" sqref="D10:H10"/>
    </sheetView>
  </sheetViews>
  <sheetFormatPr defaultRowHeight="14.4" x14ac:dyDescent="0.3"/>
  <cols>
    <col min="3" max="3" width="21.44140625" customWidth="1"/>
    <col min="4" max="4" width="17.109375" customWidth="1"/>
    <col min="5" max="5" width="12.5546875" bestFit="1" customWidth="1"/>
    <col min="6" max="6" width="11.6640625" customWidth="1"/>
    <col min="7" max="7" width="12.77734375" customWidth="1"/>
    <col min="8" max="8" width="14" customWidth="1"/>
    <col min="9" max="9" width="23.6640625" customWidth="1"/>
    <col min="12" max="12" width="4.77734375" customWidth="1"/>
  </cols>
  <sheetData>
    <row r="1" spans="2:12" ht="39" customHeight="1" thickBot="1" x14ac:dyDescent="0.4">
      <c r="C1" s="100" t="s">
        <v>229</v>
      </c>
    </row>
    <row r="2" spans="2:12" x14ac:dyDescent="0.3">
      <c r="B2" s="10"/>
      <c r="C2" s="11"/>
      <c r="D2" s="11"/>
      <c r="E2" s="11"/>
      <c r="F2" s="11"/>
      <c r="G2" s="11"/>
      <c r="H2" s="11"/>
      <c r="I2" s="11"/>
      <c r="J2" s="11"/>
      <c r="K2" s="11"/>
      <c r="L2" s="12"/>
    </row>
    <row r="3" spans="2:12" x14ac:dyDescent="0.3">
      <c r="B3" s="13"/>
      <c r="C3" s="117" t="s">
        <v>235</v>
      </c>
      <c r="D3" s="117"/>
      <c r="E3" s="117"/>
      <c r="F3" s="117"/>
      <c r="G3" s="117"/>
      <c r="H3" s="14"/>
      <c r="I3" s="14"/>
      <c r="J3" s="14"/>
      <c r="K3" s="14"/>
      <c r="L3" s="15"/>
    </row>
    <row r="4" spans="2:12" ht="15" thickBot="1" x14ac:dyDescent="0.35">
      <c r="B4" s="13"/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2:12" ht="15" thickBot="1" x14ac:dyDescent="0.35">
      <c r="B5" s="13"/>
      <c r="H5" s="144" t="s">
        <v>127</v>
      </c>
      <c r="I5" s="145"/>
      <c r="J5" s="79"/>
      <c r="K5" s="14"/>
      <c r="L5" s="15"/>
    </row>
    <row r="6" spans="2:12" ht="15" thickBot="1" x14ac:dyDescent="0.35">
      <c r="B6" s="13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2:12" ht="16.2" thickBot="1" x14ac:dyDescent="0.35">
      <c r="B7" s="13"/>
      <c r="C7" s="46" t="s">
        <v>101</v>
      </c>
      <c r="D7" s="14"/>
      <c r="E7" s="14"/>
      <c r="F7" s="14"/>
      <c r="G7" s="14"/>
      <c r="H7" s="118" t="s">
        <v>68</v>
      </c>
      <c r="I7" s="115"/>
      <c r="J7" s="71">
        <f>'0. PROJETO GERAL'!F7</f>
        <v>0</v>
      </c>
      <c r="K7" s="14"/>
      <c r="L7" s="15"/>
    </row>
    <row r="8" spans="2:12" x14ac:dyDescent="0.3">
      <c r="B8" s="13"/>
      <c r="C8" s="14" t="s">
        <v>86</v>
      </c>
      <c r="D8" s="14"/>
      <c r="E8" s="14"/>
      <c r="F8" s="14"/>
      <c r="G8" s="14"/>
      <c r="H8" s="14"/>
      <c r="I8" s="14"/>
      <c r="J8" s="14"/>
      <c r="K8" s="14"/>
      <c r="L8" s="15"/>
    </row>
    <row r="9" spans="2:12" ht="14.4" customHeight="1" x14ac:dyDescent="0.3">
      <c r="B9" s="13"/>
      <c r="C9" s="35" t="s">
        <v>57</v>
      </c>
      <c r="D9" s="35">
        <v>1</v>
      </c>
      <c r="E9" s="35">
        <v>2</v>
      </c>
      <c r="F9" s="35">
        <v>3</v>
      </c>
      <c r="G9" s="35">
        <v>4</v>
      </c>
      <c r="H9" s="35">
        <v>5</v>
      </c>
      <c r="I9" s="35">
        <v>6</v>
      </c>
      <c r="J9" s="35">
        <v>7</v>
      </c>
      <c r="K9" s="14"/>
      <c r="L9" s="15"/>
    </row>
    <row r="10" spans="2:12" x14ac:dyDescent="0.3">
      <c r="B10" s="13"/>
      <c r="C10" s="35" t="s">
        <v>126</v>
      </c>
      <c r="D10" s="76"/>
      <c r="E10" s="76"/>
      <c r="F10" s="76"/>
      <c r="G10" s="76"/>
      <c r="H10" s="76"/>
      <c r="I10" s="76"/>
      <c r="J10" s="76"/>
      <c r="K10" s="14"/>
      <c r="L10" s="15"/>
    </row>
    <row r="11" spans="2:12" x14ac:dyDescent="0.3">
      <c r="B11" s="13"/>
      <c r="C11" s="24" t="s">
        <v>130</v>
      </c>
      <c r="D11" s="24">
        <f>D10*$J$7*$J$5</f>
        <v>0</v>
      </c>
      <c r="E11" s="24">
        <f t="shared" ref="E11:J11" si="0">E10*$J$7*$J$5</f>
        <v>0</v>
      </c>
      <c r="F11" s="24">
        <f t="shared" si="0"/>
        <v>0</v>
      </c>
      <c r="G11" s="24">
        <f>G10*$J$7*$J$5</f>
        <v>0</v>
      </c>
      <c r="H11" s="24">
        <f t="shared" si="0"/>
        <v>0</v>
      </c>
      <c r="I11" s="24">
        <f t="shared" si="0"/>
        <v>0</v>
      </c>
      <c r="J11" s="24">
        <f t="shared" si="0"/>
        <v>0</v>
      </c>
      <c r="K11" s="14"/>
      <c r="L11" s="15"/>
    </row>
    <row r="12" spans="2:12" x14ac:dyDescent="0.3"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5"/>
    </row>
    <row r="13" spans="2:12" x14ac:dyDescent="0.3"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5"/>
    </row>
    <row r="14" spans="2:12" x14ac:dyDescent="0.3">
      <c r="B14" s="13"/>
      <c r="C14" s="14" t="s">
        <v>132</v>
      </c>
      <c r="D14" s="14"/>
      <c r="E14" s="14"/>
      <c r="F14" s="14"/>
      <c r="G14" s="14"/>
      <c r="H14" s="14"/>
      <c r="I14" s="14"/>
      <c r="J14" s="14"/>
      <c r="K14" s="14"/>
      <c r="L14" s="15"/>
    </row>
    <row r="15" spans="2:12" ht="14.4" customHeight="1" x14ac:dyDescent="0.3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5"/>
    </row>
    <row r="16" spans="2:12" x14ac:dyDescent="0.3"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5"/>
    </row>
    <row r="17" spans="2:12" x14ac:dyDescent="0.3">
      <c r="B17" s="13"/>
      <c r="C17" s="14" t="s">
        <v>138</v>
      </c>
      <c r="D17" s="14"/>
      <c r="E17" s="14"/>
      <c r="F17" s="14"/>
      <c r="G17" s="14"/>
      <c r="H17" s="14"/>
      <c r="I17" s="14"/>
      <c r="J17" s="14"/>
      <c r="K17" s="14"/>
      <c r="L17" s="15"/>
    </row>
    <row r="18" spans="2:12" x14ac:dyDescent="0.3">
      <c r="B18" s="13"/>
      <c r="C18" s="19"/>
      <c r="D18" s="24" t="s">
        <v>140</v>
      </c>
      <c r="E18" s="24" t="s">
        <v>141</v>
      </c>
      <c r="F18" s="14"/>
      <c r="G18" s="14"/>
      <c r="H18" s="14"/>
      <c r="I18" s="14"/>
      <c r="J18" s="14"/>
      <c r="K18" s="14"/>
      <c r="L18" s="15"/>
    </row>
    <row r="19" spans="2:12" x14ac:dyDescent="0.3">
      <c r="B19" s="13"/>
      <c r="C19" s="24" t="s">
        <v>139</v>
      </c>
      <c r="D19" s="24">
        <f>1*J7-J7</f>
        <v>0</v>
      </c>
      <c r="E19" s="24">
        <f>2*J7-J7</f>
        <v>0</v>
      </c>
      <c r="F19" s="14"/>
      <c r="G19" s="14"/>
      <c r="H19" s="14"/>
      <c r="I19" s="14"/>
      <c r="J19" s="14"/>
      <c r="K19" s="14"/>
      <c r="L19" s="15"/>
    </row>
    <row r="20" spans="2:12" x14ac:dyDescent="0.3">
      <c r="B20" s="13"/>
      <c r="C20" s="24" t="s">
        <v>142</v>
      </c>
      <c r="D20" s="24">
        <f>J7</f>
        <v>0</v>
      </c>
      <c r="E20" s="24">
        <f>J7</f>
        <v>0</v>
      </c>
      <c r="F20" s="14"/>
      <c r="G20" s="14"/>
      <c r="H20" s="14"/>
      <c r="I20" s="14"/>
      <c r="J20" s="14"/>
      <c r="K20" s="14"/>
      <c r="L20" s="15"/>
    </row>
    <row r="21" spans="2:12" ht="14.4" customHeight="1" x14ac:dyDescent="0.3">
      <c r="B21" s="13"/>
      <c r="C21" s="24" t="s">
        <v>143</v>
      </c>
      <c r="D21" s="24">
        <f>0.5*J7</f>
        <v>0</v>
      </c>
      <c r="E21" s="24">
        <f>0.5*J7</f>
        <v>0</v>
      </c>
      <c r="F21" s="14"/>
      <c r="G21" s="14"/>
      <c r="H21" s="14"/>
      <c r="I21" s="14"/>
      <c r="J21" s="14"/>
      <c r="K21" s="14"/>
      <c r="L21" s="15"/>
    </row>
    <row r="22" spans="2:12" x14ac:dyDescent="0.3"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5"/>
    </row>
    <row r="23" spans="2:12" x14ac:dyDescent="0.3"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</row>
    <row r="24" spans="2:12" x14ac:dyDescent="0.3">
      <c r="B24" s="13"/>
      <c r="C24" s="35" t="s">
        <v>57</v>
      </c>
      <c r="D24" s="35">
        <v>1</v>
      </c>
      <c r="E24" s="35">
        <v>2</v>
      </c>
      <c r="F24" s="35">
        <v>3</v>
      </c>
      <c r="G24" s="35">
        <v>4</v>
      </c>
      <c r="H24" s="35">
        <v>5</v>
      </c>
      <c r="I24" s="35">
        <v>6</v>
      </c>
      <c r="J24" s="35">
        <v>7</v>
      </c>
      <c r="K24" s="14"/>
      <c r="L24" s="15"/>
    </row>
    <row r="25" spans="2:12" x14ac:dyDescent="0.3">
      <c r="B25" s="13"/>
      <c r="C25" s="24" t="s">
        <v>134</v>
      </c>
      <c r="D25" s="77"/>
      <c r="E25" s="77"/>
      <c r="F25" s="77"/>
      <c r="G25" s="77"/>
      <c r="H25" s="77"/>
      <c r="I25" s="77"/>
      <c r="J25" s="77"/>
      <c r="K25" s="14"/>
      <c r="L25" s="15"/>
    </row>
    <row r="26" spans="2:12" x14ac:dyDescent="0.3">
      <c r="B26" s="13"/>
      <c r="C26" s="35" t="s">
        <v>133</v>
      </c>
      <c r="D26" s="35">
        <f>IFERROR(D11*$J$7/($J$7+D25),0)</f>
        <v>0</v>
      </c>
      <c r="E26" s="35">
        <f t="shared" ref="E26:J26" si="1">IFERROR(E11*$J$7/($J$7+E25),0)</f>
        <v>0</v>
      </c>
      <c r="F26" s="35">
        <f t="shared" si="1"/>
        <v>0</v>
      </c>
      <c r="G26" s="35">
        <f t="shared" si="1"/>
        <v>0</v>
      </c>
      <c r="H26" s="35">
        <f t="shared" si="1"/>
        <v>0</v>
      </c>
      <c r="I26" s="35">
        <f t="shared" si="1"/>
        <v>0</v>
      </c>
      <c r="J26" s="35">
        <f t="shared" si="1"/>
        <v>0</v>
      </c>
      <c r="K26" s="14"/>
      <c r="L26" s="15"/>
    </row>
    <row r="27" spans="2:12" x14ac:dyDescent="0.3"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5"/>
    </row>
    <row r="28" spans="2:12" x14ac:dyDescent="0.3">
      <c r="B28" s="13"/>
      <c r="D28" s="14"/>
      <c r="E28" s="14"/>
      <c r="F28" s="14"/>
      <c r="G28" s="14"/>
      <c r="H28" s="14"/>
      <c r="I28" s="14"/>
      <c r="J28" s="14"/>
      <c r="K28" s="14"/>
      <c r="L28" s="15"/>
    </row>
    <row r="29" spans="2:12" ht="14.4" customHeight="1" x14ac:dyDescent="0.3">
      <c r="B29" s="13"/>
      <c r="C29" s="14" t="s">
        <v>128</v>
      </c>
      <c r="D29" s="14"/>
      <c r="E29" s="14"/>
      <c r="F29" s="14"/>
      <c r="H29" s="14"/>
      <c r="I29" s="14"/>
      <c r="J29" s="14"/>
      <c r="K29" s="14"/>
      <c r="L29" s="15"/>
    </row>
    <row r="30" spans="2:12" x14ac:dyDescent="0.3"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5"/>
    </row>
    <row r="31" spans="2:12" x14ac:dyDescent="0.3">
      <c r="B31" s="13"/>
      <c r="C31" s="35" t="s">
        <v>57</v>
      </c>
      <c r="D31" s="35">
        <v>1</v>
      </c>
      <c r="E31" s="35">
        <v>2</v>
      </c>
      <c r="F31" s="35">
        <v>3</v>
      </c>
      <c r="G31" s="35">
        <v>4</v>
      </c>
      <c r="H31" s="35">
        <v>5</v>
      </c>
      <c r="I31" s="35">
        <v>6</v>
      </c>
      <c r="J31" s="35">
        <v>7</v>
      </c>
      <c r="K31" s="14"/>
      <c r="L31" s="15"/>
    </row>
    <row r="32" spans="2:12" x14ac:dyDescent="0.3">
      <c r="B32" s="13"/>
      <c r="C32" s="35" t="s">
        <v>129</v>
      </c>
      <c r="D32" s="35">
        <f>0.1*D26</f>
        <v>0</v>
      </c>
      <c r="E32" s="35">
        <f t="shared" ref="E32:J32" si="2">0.1*E26</f>
        <v>0</v>
      </c>
      <c r="F32" s="35">
        <f t="shared" si="2"/>
        <v>0</v>
      </c>
      <c r="G32" s="35">
        <f t="shared" si="2"/>
        <v>0</v>
      </c>
      <c r="H32" s="35">
        <f t="shared" si="2"/>
        <v>0</v>
      </c>
      <c r="I32" s="35">
        <f t="shared" si="2"/>
        <v>0</v>
      </c>
      <c r="J32" s="35">
        <f t="shared" si="2"/>
        <v>0</v>
      </c>
      <c r="K32" s="14"/>
      <c r="L32" s="15"/>
    </row>
    <row r="33" spans="2:12" x14ac:dyDescent="0.3">
      <c r="B33" s="13"/>
      <c r="C33" s="24" t="s">
        <v>131</v>
      </c>
      <c r="D33" s="35">
        <f>0.1*D26</f>
        <v>0</v>
      </c>
      <c r="E33" s="35">
        <f t="shared" ref="E33:J33" si="3">0.1*E26</f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14"/>
      <c r="L33" s="15"/>
    </row>
    <row r="34" spans="2:12" x14ac:dyDescent="0.3"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5"/>
    </row>
    <row r="35" spans="2:12" x14ac:dyDescent="0.3"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5"/>
    </row>
    <row r="36" spans="2:12" x14ac:dyDescent="0.3">
      <c r="B36" s="13"/>
      <c r="C36" s="14" t="s">
        <v>135</v>
      </c>
      <c r="D36" s="14"/>
      <c r="E36" s="14"/>
      <c r="F36" s="14"/>
      <c r="G36" s="14"/>
      <c r="H36" s="14"/>
      <c r="I36" s="14"/>
      <c r="J36" s="14"/>
      <c r="K36" s="14"/>
      <c r="L36" s="15"/>
    </row>
    <row r="37" spans="2:12" ht="14.4" customHeight="1" x14ac:dyDescent="0.3"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5"/>
    </row>
    <row r="38" spans="2:12" x14ac:dyDescent="0.3">
      <c r="B38" s="13"/>
      <c r="C38" s="35" t="s">
        <v>57</v>
      </c>
      <c r="D38" s="35">
        <v>1</v>
      </c>
      <c r="E38" s="35">
        <v>2</v>
      </c>
      <c r="F38" s="35">
        <v>3</v>
      </c>
      <c r="G38" s="35">
        <v>4</v>
      </c>
      <c r="H38" s="35">
        <v>5</v>
      </c>
      <c r="I38" s="35">
        <v>6</v>
      </c>
      <c r="J38" s="35">
        <v>7</v>
      </c>
      <c r="K38" s="14"/>
      <c r="L38" s="15"/>
    </row>
    <row r="39" spans="2:12" x14ac:dyDescent="0.3">
      <c r="B39" s="13"/>
      <c r="C39" s="35" t="s">
        <v>136</v>
      </c>
      <c r="D39" s="35">
        <f>SUM(D33,D26,D32)</f>
        <v>0</v>
      </c>
      <c r="E39" s="35">
        <f t="shared" ref="E39:J39" si="4">SUM(E33,E26,E32)</f>
        <v>0</v>
      </c>
      <c r="F39" s="35">
        <f t="shared" si="4"/>
        <v>0</v>
      </c>
      <c r="G39" s="35">
        <f t="shared" si="4"/>
        <v>0</v>
      </c>
      <c r="H39" s="35">
        <f t="shared" si="4"/>
        <v>0</v>
      </c>
      <c r="I39" s="35">
        <f t="shared" si="4"/>
        <v>0</v>
      </c>
      <c r="J39" s="35">
        <f t="shared" si="4"/>
        <v>0</v>
      </c>
      <c r="K39" s="14"/>
      <c r="L39" s="15"/>
    </row>
    <row r="40" spans="2:12" x14ac:dyDescent="0.3"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5"/>
    </row>
    <row r="41" spans="2:12" ht="14.4" customHeight="1" thickBot="1" x14ac:dyDescent="0.35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2"/>
    </row>
  </sheetData>
  <mergeCells count="3">
    <mergeCell ref="C3:G3"/>
    <mergeCell ref="H5:I5"/>
    <mergeCell ref="H7:I7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1CFF3-8D02-4406-90D7-543B58148F3B}">
  <dimension ref="B1:M86"/>
  <sheetViews>
    <sheetView showGridLines="0" topLeftCell="A22" zoomScale="80" zoomScaleNormal="80" workbookViewId="0">
      <selection activeCell="O6" sqref="O6:T18"/>
    </sheetView>
  </sheetViews>
  <sheetFormatPr defaultRowHeight="14.4" x14ac:dyDescent="0.3"/>
  <cols>
    <col min="3" max="3" width="21.44140625" customWidth="1"/>
    <col min="4" max="4" width="17.109375" customWidth="1"/>
    <col min="5" max="5" width="22" customWidth="1"/>
    <col min="6" max="6" width="11.6640625" customWidth="1"/>
    <col min="7" max="7" width="12.77734375" customWidth="1"/>
    <col min="8" max="8" width="25.5546875" customWidth="1"/>
    <col min="9" max="9" width="10.88671875" customWidth="1"/>
    <col min="13" max="13" width="7.88671875" customWidth="1"/>
  </cols>
  <sheetData>
    <row r="1" spans="2:13" ht="39" customHeight="1" thickBot="1" x14ac:dyDescent="0.4">
      <c r="C1" s="100" t="s">
        <v>229</v>
      </c>
    </row>
    <row r="2" spans="2:13" x14ac:dyDescent="0.3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2:13" ht="15" thickBot="1" x14ac:dyDescent="0.35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2:13" ht="15" thickBot="1" x14ac:dyDescent="0.35">
      <c r="B4" s="13"/>
      <c r="C4" s="14"/>
      <c r="D4" s="14"/>
      <c r="E4" s="14"/>
      <c r="F4" s="14"/>
      <c r="G4" s="14"/>
      <c r="H4" s="118" t="s">
        <v>68</v>
      </c>
      <c r="I4" s="115"/>
      <c r="J4" s="71">
        <v>3</v>
      </c>
      <c r="K4" s="14"/>
      <c r="L4" s="14"/>
      <c r="M4" s="15"/>
    </row>
    <row r="5" spans="2:13" ht="15" thickBot="1" x14ac:dyDescent="0.35">
      <c r="B5" s="13"/>
      <c r="C5" s="117" t="s">
        <v>144</v>
      </c>
      <c r="D5" s="117"/>
      <c r="E5" s="117"/>
      <c r="F5" s="117"/>
      <c r="G5" s="117"/>
      <c r="H5" s="118" t="s">
        <v>146</v>
      </c>
      <c r="I5" s="115"/>
      <c r="J5" s="82"/>
      <c r="K5" s="14"/>
      <c r="L5" s="14"/>
      <c r="M5" s="15"/>
    </row>
    <row r="6" spans="2:13" ht="15" thickBot="1" x14ac:dyDescent="0.35">
      <c r="B6" s="13"/>
      <c r="C6" s="14"/>
      <c r="D6" s="14"/>
      <c r="E6" s="14"/>
      <c r="F6" s="14"/>
      <c r="G6" s="14"/>
      <c r="H6" s="114" t="s">
        <v>163</v>
      </c>
      <c r="I6" s="115"/>
      <c r="J6" s="82"/>
      <c r="K6" s="14"/>
      <c r="L6" s="14"/>
      <c r="M6" s="15"/>
    </row>
    <row r="7" spans="2:13" ht="14.4" customHeight="1" thickBot="1" x14ac:dyDescent="0.3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2:13" ht="15" thickBot="1" x14ac:dyDescent="0.35">
      <c r="B8" s="13"/>
      <c r="C8" s="14" t="s">
        <v>236</v>
      </c>
      <c r="D8" s="14"/>
      <c r="E8" s="14"/>
      <c r="H8" s="83" t="s">
        <v>147</v>
      </c>
      <c r="I8" s="90">
        <f>IFERROR(J5/J4,0)</f>
        <v>0</v>
      </c>
      <c r="J8" s="14"/>
      <c r="K8" s="14"/>
      <c r="L8" s="14"/>
      <c r="M8" s="15"/>
    </row>
    <row r="9" spans="2:13" ht="15" thickBot="1" x14ac:dyDescent="0.35"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</row>
    <row r="10" spans="2:13" ht="15" thickBot="1" x14ac:dyDescent="0.35">
      <c r="B10" s="13"/>
      <c r="C10" s="14"/>
      <c r="D10" s="146" t="s">
        <v>150</v>
      </c>
      <c r="E10" s="147"/>
      <c r="F10" s="83" t="s">
        <v>147</v>
      </c>
      <c r="G10" s="84" t="s">
        <v>148</v>
      </c>
      <c r="H10" s="85">
        <v>0.8</v>
      </c>
      <c r="I10" s="85">
        <v>1.2</v>
      </c>
      <c r="J10" s="85">
        <v>2</v>
      </c>
      <c r="K10" s="85">
        <v>3</v>
      </c>
      <c r="L10" s="86" t="s">
        <v>149</v>
      </c>
      <c r="M10" s="15"/>
    </row>
    <row r="11" spans="2:13" ht="15" thickBot="1" x14ac:dyDescent="0.35">
      <c r="B11" s="13"/>
      <c r="C11" s="14"/>
      <c r="D11" s="14"/>
      <c r="E11" s="14"/>
      <c r="F11" s="87" t="s">
        <v>47</v>
      </c>
      <c r="G11" s="88">
        <v>0.5</v>
      </c>
      <c r="H11" s="89">
        <v>0.6</v>
      </c>
      <c r="I11" s="89">
        <v>0.7</v>
      </c>
      <c r="J11" s="89">
        <v>0.8</v>
      </c>
      <c r="K11" s="89">
        <v>0.9</v>
      </c>
      <c r="L11" s="89">
        <v>1</v>
      </c>
      <c r="M11" s="15"/>
    </row>
    <row r="12" spans="2:13" x14ac:dyDescent="0.3">
      <c r="B12" s="13"/>
      <c r="C12" s="14" t="s">
        <v>151</v>
      </c>
      <c r="D12" s="14"/>
      <c r="E12" s="14"/>
      <c r="F12" s="14"/>
      <c r="G12" s="14"/>
      <c r="H12" s="14"/>
      <c r="I12" s="14"/>
      <c r="J12" s="14"/>
      <c r="K12" s="14"/>
      <c r="L12" s="14"/>
      <c r="M12" s="15"/>
    </row>
    <row r="13" spans="2:13" ht="15" thickBot="1" x14ac:dyDescent="0.35"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</row>
    <row r="14" spans="2:13" ht="15" thickBot="1" x14ac:dyDescent="0.35">
      <c r="B14" s="13"/>
      <c r="C14" s="83" t="s">
        <v>47</v>
      </c>
      <c r="D14" s="92"/>
      <c r="E14" s="14"/>
      <c r="F14" s="14"/>
      <c r="G14" s="14"/>
      <c r="H14" s="14"/>
      <c r="I14" s="14"/>
      <c r="J14" s="14"/>
      <c r="K14" s="14"/>
      <c r="L14" s="14"/>
      <c r="M14" s="15"/>
    </row>
    <row r="15" spans="2:13" ht="14.4" customHeight="1" thickBot="1" x14ac:dyDescent="0.35">
      <c r="B15" s="13"/>
      <c r="C15" s="91" t="s">
        <v>145</v>
      </c>
      <c r="D15" s="84">
        <f>D14*J4/2</f>
        <v>0</v>
      </c>
      <c r="E15" s="14"/>
      <c r="G15" s="14"/>
      <c r="H15" s="14"/>
      <c r="I15" s="14"/>
      <c r="J15" s="14"/>
      <c r="K15" s="14"/>
      <c r="L15" s="14"/>
      <c r="M15" s="15"/>
    </row>
    <row r="16" spans="2:13" x14ac:dyDescent="0.3">
      <c r="B16" s="13"/>
      <c r="C16" s="14"/>
      <c r="D16" s="14"/>
      <c r="E16" s="14"/>
      <c r="F16" s="14"/>
      <c r="G16" s="14"/>
      <c r="H16" s="14"/>
      <c r="L16" s="14"/>
      <c r="M16" s="15"/>
    </row>
    <row r="17" spans="2:13" x14ac:dyDescent="0.3">
      <c r="B17" s="13"/>
      <c r="C17" s="14"/>
      <c r="D17" s="14"/>
      <c r="E17" s="14"/>
      <c r="F17" s="14"/>
      <c r="G17" s="14"/>
      <c r="H17" s="14"/>
      <c r="L17" s="14"/>
      <c r="M17" s="15"/>
    </row>
    <row r="18" spans="2:13" ht="15" thickBot="1" x14ac:dyDescent="0.35">
      <c r="B18" s="13"/>
      <c r="C18" s="117" t="s">
        <v>157</v>
      </c>
      <c r="D18" s="117"/>
      <c r="E18" s="117"/>
      <c r="F18" s="117"/>
      <c r="G18" s="117"/>
      <c r="H18" s="14"/>
      <c r="I18" s="14"/>
      <c r="J18" s="14"/>
      <c r="K18" s="14"/>
      <c r="L18" s="14"/>
      <c r="M18" s="15"/>
    </row>
    <row r="19" spans="2:13" ht="15" thickBot="1" x14ac:dyDescent="0.35">
      <c r="B19" s="13"/>
      <c r="C19" s="14"/>
      <c r="D19" s="14"/>
      <c r="E19" s="14" t="s">
        <v>153</v>
      </c>
      <c r="F19" s="14"/>
      <c r="G19" s="14"/>
      <c r="I19" s="14"/>
      <c r="J19" s="93" t="s">
        <v>6</v>
      </c>
      <c r="K19" s="93"/>
      <c r="L19" s="14"/>
      <c r="M19" s="15"/>
    </row>
    <row r="20" spans="2:13" ht="15" thickBot="1" x14ac:dyDescent="0.35">
      <c r="B20" s="13"/>
      <c r="C20" s="14" t="s">
        <v>152</v>
      </c>
      <c r="D20" s="14"/>
      <c r="E20" s="14" t="s">
        <v>154</v>
      </c>
      <c r="F20" s="14"/>
      <c r="G20" s="14"/>
      <c r="H20" s="14"/>
      <c r="I20" s="14"/>
      <c r="J20" s="112">
        <f>IFERROR(D15/(J5+D15),0)</f>
        <v>0</v>
      </c>
      <c r="K20" s="159"/>
      <c r="L20" s="14"/>
      <c r="M20" s="15"/>
    </row>
    <row r="21" spans="2:13" x14ac:dyDescent="0.3">
      <c r="B21" s="13"/>
      <c r="C21" s="14"/>
      <c r="D21" s="14"/>
      <c r="E21" s="14" t="s">
        <v>155</v>
      </c>
      <c r="F21" s="14"/>
      <c r="G21" s="14"/>
      <c r="H21" s="14"/>
      <c r="I21" s="14"/>
      <c r="J21" s="14"/>
      <c r="K21" s="14"/>
      <c r="L21" s="14"/>
      <c r="M21" s="15"/>
    </row>
    <row r="22" spans="2:13" ht="15" thickBot="1" x14ac:dyDescent="0.35">
      <c r="B22" s="13"/>
      <c r="D22" s="14"/>
      <c r="E22" s="14" t="s">
        <v>156</v>
      </c>
      <c r="F22" s="14"/>
      <c r="G22" s="14"/>
      <c r="H22" s="14"/>
      <c r="I22" s="14"/>
      <c r="J22" s="14"/>
      <c r="K22" s="14"/>
      <c r="L22" s="14"/>
      <c r="M22" s="15"/>
    </row>
    <row r="23" spans="2:13" ht="14.4" customHeight="1" thickBot="1" x14ac:dyDescent="0.35">
      <c r="B23" s="13"/>
      <c r="C23" s="14"/>
      <c r="D23" s="14"/>
      <c r="E23" s="14"/>
      <c r="F23" s="14"/>
      <c r="G23" s="14"/>
      <c r="H23" s="14"/>
      <c r="I23" s="14"/>
      <c r="J23" s="83" t="s">
        <v>237</v>
      </c>
      <c r="K23" s="84">
        <f>IFERROR((0.85*K20/(100*J20)+0.5)*J4,0)</f>
        <v>0</v>
      </c>
      <c r="L23" s="14"/>
      <c r="M23" s="15"/>
    </row>
    <row r="24" spans="2:13" x14ac:dyDescent="0.3">
      <c r="B24" s="13"/>
      <c r="D24" s="14"/>
      <c r="E24" s="14"/>
      <c r="F24" s="14"/>
      <c r="G24" s="14"/>
      <c r="H24" s="14"/>
      <c r="I24" s="14"/>
      <c r="J24" s="14"/>
      <c r="K24" s="14"/>
      <c r="L24" s="14"/>
      <c r="M24" s="15"/>
    </row>
    <row r="25" spans="2:13" ht="14.4" customHeight="1" x14ac:dyDescent="0.3"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</row>
    <row r="26" spans="2:13" x14ac:dyDescent="0.3">
      <c r="B26" s="13"/>
      <c r="D26" s="14"/>
      <c r="E26" s="14"/>
      <c r="F26" s="14"/>
      <c r="H26" s="14"/>
      <c r="I26" s="14"/>
      <c r="J26" s="14"/>
      <c r="K26" s="14"/>
      <c r="L26" s="14"/>
      <c r="M26" s="15"/>
    </row>
    <row r="27" spans="2:13" ht="14.4" customHeight="1" x14ac:dyDescent="0.3">
      <c r="B27" s="13"/>
      <c r="C27" s="14"/>
      <c r="D27" s="14"/>
      <c r="E27" s="14"/>
      <c r="F27" s="14"/>
      <c r="H27" s="14"/>
      <c r="I27" s="14"/>
      <c r="J27" s="14"/>
      <c r="K27" s="14"/>
      <c r="L27" s="14"/>
      <c r="M27" s="15"/>
    </row>
    <row r="28" spans="2:13" x14ac:dyDescent="0.3">
      <c r="B28" s="13"/>
      <c r="D28" s="14"/>
      <c r="E28" s="14"/>
      <c r="F28" s="14"/>
      <c r="G28" s="14"/>
      <c r="H28" s="14"/>
      <c r="I28" s="14"/>
      <c r="J28" s="14"/>
      <c r="K28" s="14"/>
      <c r="L28" s="14"/>
      <c r="M28" s="15"/>
    </row>
    <row r="29" spans="2:13" ht="14.4" customHeight="1" x14ac:dyDescent="0.3">
      <c r="B29" s="13"/>
      <c r="C29" s="14" t="s">
        <v>158</v>
      </c>
      <c r="D29" s="14"/>
      <c r="E29" s="14"/>
      <c r="F29" s="14"/>
      <c r="G29" s="14"/>
      <c r="H29" s="14"/>
      <c r="I29" s="14"/>
      <c r="J29" s="14"/>
      <c r="K29" s="14"/>
      <c r="L29" s="14"/>
      <c r="M29" s="15"/>
    </row>
    <row r="30" spans="2:13" x14ac:dyDescent="0.3"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</row>
    <row r="31" spans="2:13" x14ac:dyDescent="0.3">
      <c r="B31" s="13"/>
      <c r="E31" s="14"/>
      <c r="F31" s="14"/>
      <c r="G31" s="14"/>
      <c r="I31" s="14"/>
      <c r="J31" s="14"/>
      <c r="K31" s="14"/>
      <c r="L31" s="14"/>
      <c r="M31" s="15"/>
    </row>
    <row r="32" spans="2:13" x14ac:dyDescent="0.3"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</row>
    <row r="33" spans="2:13" x14ac:dyDescent="0.3"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</row>
    <row r="34" spans="2:13" x14ac:dyDescent="0.3">
      <c r="B34" s="13"/>
      <c r="C34" s="117" t="s">
        <v>159</v>
      </c>
      <c r="D34" s="117"/>
      <c r="E34" s="117"/>
      <c r="F34" s="117"/>
      <c r="G34" s="117"/>
      <c r="H34" s="14"/>
      <c r="I34" s="14"/>
      <c r="J34" s="14"/>
      <c r="K34" s="14"/>
      <c r="L34" s="14"/>
      <c r="M34" s="15"/>
    </row>
    <row r="35" spans="2:13" ht="14.4" customHeight="1" thickBot="1" x14ac:dyDescent="0.35"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</row>
    <row r="36" spans="2:13" ht="15" thickBot="1" x14ac:dyDescent="0.35">
      <c r="B36" s="13"/>
      <c r="C36" s="14" t="s">
        <v>160</v>
      </c>
      <c r="D36" s="14"/>
      <c r="E36" s="14"/>
      <c r="F36" s="14"/>
      <c r="K36" s="14"/>
      <c r="L36" s="93" t="s">
        <v>238</v>
      </c>
      <c r="M36" s="15"/>
    </row>
    <row r="37" spans="2:13" ht="15" thickBot="1" x14ac:dyDescent="0.35">
      <c r="B37" s="13"/>
      <c r="C37" s="14"/>
      <c r="D37" s="14"/>
      <c r="E37" s="14"/>
      <c r="F37" s="14"/>
      <c r="K37" s="14"/>
      <c r="L37" s="94"/>
      <c r="M37" s="15"/>
    </row>
    <row r="38" spans="2:13" x14ac:dyDescent="0.3">
      <c r="B38" s="13"/>
      <c r="C38" s="14"/>
      <c r="D38" s="14"/>
      <c r="E38" s="14"/>
      <c r="F38" s="14"/>
      <c r="G38" s="14"/>
      <c r="K38" s="14"/>
      <c r="L38" s="14"/>
      <c r="M38" s="15"/>
    </row>
    <row r="39" spans="2:13" x14ac:dyDescent="0.3">
      <c r="B39" s="13"/>
      <c r="C39" s="14"/>
      <c r="D39" s="14"/>
      <c r="E39" s="14"/>
      <c r="F39" s="14"/>
      <c r="G39" s="14" t="s">
        <v>161</v>
      </c>
      <c r="H39" s="14"/>
      <c r="I39" s="14"/>
      <c r="J39" s="14"/>
      <c r="K39" s="14"/>
      <c r="L39" s="14"/>
      <c r="M39" s="15"/>
    </row>
    <row r="40" spans="2:13" ht="15.6" x14ac:dyDescent="0.3">
      <c r="B40" s="13"/>
      <c r="C40" s="14"/>
      <c r="D40" s="14"/>
      <c r="E40" s="14"/>
      <c r="F40" s="14"/>
      <c r="G40" s="46" t="s">
        <v>101</v>
      </c>
      <c r="H40" s="14"/>
      <c r="I40" s="14"/>
      <c r="J40" s="14"/>
      <c r="K40" s="14"/>
      <c r="L40" s="14"/>
      <c r="M40" s="15"/>
    </row>
    <row r="41" spans="2:13" x14ac:dyDescent="0.3"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</row>
    <row r="42" spans="2:13" ht="15" thickBot="1" x14ac:dyDescent="0.35"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</row>
    <row r="43" spans="2:13" ht="15" thickBot="1" x14ac:dyDescent="0.35">
      <c r="B43" s="13"/>
      <c r="C43" s="14"/>
      <c r="D43" s="14"/>
      <c r="E43" s="14"/>
      <c r="F43" s="14"/>
      <c r="G43" s="83" t="s">
        <v>162</v>
      </c>
      <c r="H43" s="84">
        <f>L37*(J5+0.5*J4)-0.5*J4</f>
        <v>-1.5</v>
      </c>
      <c r="I43" s="14"/>
      <c r="J43" s="14"/>
      <c r="K43" s="14"/>
      <c r="L43" s="14"/>
      <c r="M43" s="15"/>
    </row>
    <row r="44" spans="2:13" ht="14.4" customHeight="1" thickBot="1" x14ac:dyDescent="0.35">
      <c r="B44" s="13"/>
      <c r="C44" s="14"/>
      <c r="D44" s="14"/>
      <c r="E44" s="14"/>
      <c r="F44" s="14"/>
      <c r="G44" s="83"/>
      <c r="H44" s="84">
        <f>L37*J6</f>
        <v>0</v>
      </c>
      <c r="I44" s="14"/>
      <c r="J44" s="14"/>
      <c r="K44" s="14"/>
      <c r="L44" s="14"/>
      <c r="M44" s="15"/>
    </row>
    <row r="45" spans="2:13" x14ac:dyDescent="0.3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5"/>
    </row>
    <row r="46" spans="2:13" x14ac:dyDescent="0.3"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5"/>
    </row>
    <row r="47" spans="2:13" x14ac:dyDescent="0.3"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</row>
    <row r="48" spans="2:13" x14ac:dyDescent="0.3"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</row>
    <row r="49" spans="2:13" x14ac:dyDescent="0.3"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</row>
    <row r="50" spans="2:13" x14ac:dyDescent="0.3"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5"/>
    </row>
    <row r="51" spans="2:13" x14ac:dyDescent="0.3">
      <c r="B51" s="13"/>
      <c r="D51" s="14"/>
      <c r="E51" s="14"/>
      <c r="F51" s="14"/>
      <c r="G51" s="14"/>
      <c r="H51" s="14"/>
      <c r="I51" s="14"/>
      <c r="J51" s="14"/>
      <c r="K51" s="14"/>
      <c r="L51" s="14"/>
      <c r="M51" s="15"/>
    </row>
    <row r="52" spans="2:13" ht="14.4" customHeight="1" x14ac:dyDescent="0.3">
      <c r="B52" s="13"/>
      <c r="D52" s="14"/>
      <c r="E52" s="14"/>
      <c r="F52" s="14"/>
      <c r="G52" s="14"/>
      <c r="H52" s="14"/>
      <c r="I52" s="14"/>
      <c r="J52" s="14"/>
      <c r="K52" s="14"/>
      <c r="L52" s="14"/>
      <c r="M52" s="15"/>
    </row>
    <row r="53" spans="2:13" x14ac:dyDescent="0.3">
      <c r="B53" s="13"/>
      <c r="D53" s="14"/>
      <c r="E53" s="14"/>
      <c r="F53" s="14"/>
      <c r="G53" s="14"/>
      <c r="H53" s="14"/>
      <c r="I53" s="14"/>
      <c r="J53" s="14"/>
      <c r="K53" s="14"/>
      <c r="L53" s="14"/>
      <c r="M53" s="15"/>
    </row>
    <row r="54" spans="2:13" ht="15" thickBot="1" x14ac:dyDescent="0.35">
      <c r="B54" s="13"/>
      <c r="D54" s="14"/>
      <c r="E54" s="14"/>
      <c r="F54" s="14"/>
      <c r="G54" s="14"/>
      <c r="H54" s="14"/>
      <c r="I54" s="14"/>
      <c r="J54" s="14"/>
      <c r="K54" s="14"/>
      <c r="L54" s="14"/>
      <c r="M54" s="15"/>
    </row>
    <row r="55" spans="2:13" ht="15" thickBot="1" x14ac:dyDescent="0.35">
      <c r="B55" s="13"/>
      <c r="D55" s="14"/>
      <c r="E55" s="14"/>
      <c r="F55" s="14"/>
      <c r="G55" s="14"/>
      <c r="H55" s="14" t="s">
        <v>169</v>
      </c>
      <c r="I55" s="14"/>
      <c r="J55" s="14"/>
      <c r="K55" s="14"/>
      <c r="L55" s="93"/>
      <c r="M55" s="15"/>
    </row>
    <row r="56" spans="2:13" ht="14.4" customHeight="1" thickBot="1" x14ac:dyDescent="0.35">
      <c r="B56" s="13"/>
      <c r="C56" s="14" t="s">
        <v>164</v>
      </c>
      <c r="D56" s="14"/>
      <c r="E56" s="14"/>
      <c r="F56" s="14"/>
      <c r="G56" s="14"/>
      <c r="H56" s="14" t="s">
        <v>166</v>
      </c>
      <c r="I56" s="14"/>
      <c r="J56" s="14"/>
      <c r="K56" s="14"/>
      <c r="L56" s="159"/>
      <c r="M56" s="15"/>
    </row>
    <row r="57" spans="2:13" x14ac:dyDescent="0.3">
      <c r="B57" s="13"/>
      <c r="C57" s="14"/>
      <c r="D57" s="14"/>
      <c r="E57" s="14"/>
      <c r="F57" s="14"/>
      <c r="G57" s="14"/>
      <c r="H57" s="14" t="s">
        <v>167</v>
      </c>
      <c r="I57" s="14"/>
      <c r="J57" s="14"/>
      <c r="K57" s="14"/>
      <c r="L57" s="14"/>
      <c r="M57" s="15"/>
    </row>
    <row r="58" spans="2:13" x14ac:dyDescent="0.3">
      <c r="B58" s="13"/>
      <c r="C58" s="14" t="s">
        <v>165</v>
      </c>
      <c r="D58" s="14"/>
      <c r="E58" s="14"/>
      <c r="G58" s="14"/>
      <c r="H58" s="14" t="s">
        <v>180</v>
      </c>
      <c r="I58" s="14"/>
      <c r="J58" s="14"/>
      <c r="K58" s="14"/>
      <c r="L58" s="14"/>
      <c r="M58" s="15"/>
    </row>
    <row r="59" spans="2:13" ht="15.6" x14ac:dyDescent="0.3">
      <c r="B59" s="13"/>
      <c r="C59" s="46" t="s">
        <v>101</v>
      </c>
      <c r="E59" s="14"/>
      <c r="F59" s="14"/>
      <c r="G59" s="14"/>
      <c r="H59" s="14"/>
      <c r="I59" s="14"/>
      <c r="J59" s="14"/>
      <c r="K59" s="14"/>
      <c r="L59" s="14"/>
      <c r="M59" s="15"/>
    </row>
    <row r="60" spans="2:13" ht="14.4" customHeight="1" x14ac:dyDescent="0.3">
      <c r="B60" s="13"/>
      <c r="C60" s="14"/>
      <c r="D60" s="14"/>
      <c r="E60" s="14"/>
      <c r="G60" s="14"/>
      <c r="H60" s="14"/>
      <c r="I60" s="14"/>
      <c r="J60" s="14"/>
      <c r="K60" s="14"/>
      <c r="L60" s="14"/>
      <c r="M60" s="15"/>
    </row>
    <row r="61" spans="2:13" x14ac:dyDescent="0.3">
      <c r="B61" s="13"/>
      <c r="C61" s="14"/>
      <c r="E61" s="14"/>
      <c r="F61" s="14"/>
      <c r="G61" s="14"/>
      <c r="H61" s="14"/>
      <c r="I61" s="14"/>
      <c r="J61" s="14"/>
      <c r="K61" s="14"/>
      <c r="L61" s="14"/>
      <c r="M61" s="15"/>
    </row>
    <row r="62" spans="2:13" x14ac:dyDescent="0.3">
      <c r="B62" s="13"/>
      <c r="C62" s="14" t="s">
        <v>168</v>
      </c>
      <c r="D62" s="14"/>
      <c r="E62" s="35" t="s">
        <v>171</v>
      </c>
      <c r="F62" s="35">
        <v>1</v>
      </c>
      <c r="G62" s="35">
        <v>2</v>
      </c>
      <c r="H62" s="35">
        <v>3</v>
      </c>
      <c r="I62" s="35">
        <v>4</v>
      </c>
      <c r="J62" s="35">
        <v>5</v>
      </c>
      <c r="K62" s="35">
        <v>6</v>
      </c>
      <c r="L62" s="35">
        <v>7</v>
      </c>
      <c r="M62" s="15"/>
    </row>
    <row r="63" spans="2:13" ht="15" customHeight="1" x14ac:dyDescent="0.3">
      <c r="B63" s="13"/>
      <c r="C63" s="14"/>
      <c r="D63" s="14"/>
      <c r="E63" s="24" t="s">
        <v>172</v>
      </c>
      <c r="F63" s="77"/>
      <c r="G63" s="77"/>
      <c r="H63" s="77"/>
      <c r="I63" s="77"/>
      <c r="J63" s="77"/>
      <c r="K63" s="77"/>
      <c r="L63" s="77"/>
      <c r="M63" s="15"/>
    </row>
    <row r="64" spans="2:13" ht="14.4" customHeight="1" x14ac:dyDescent="0.3">
      <c r="B64" s="13"/>
      <c r="C64" s="46" t="s">
        <v>101</v>
      </c>
      <c r="D64" s="14"/>
      <c r="E64" s="24" t="s">
        <v>173</v>
      </c>
      <c r="F64" s="77"/>
      <c r="G64" s="77"/>
      <c r="H64" s="77"/>
      <c r="I64" s="77"/>
      <c r="J64" s="77"/>
      <c r="K64" s="77"/>
      <c r="L64" s="77"/>
      <c r="M64" s="15"/>
    </row>
    <row r="65" spans="2:13" ht="15" customHeight="1" x14ac:dyDescent="0.3">
      <c r="B65" s="13"/>
      <c r="C65" s="14"/>
      <c r="D65" s="14"/>
      <c r="E65" s="24" t="s">
        <v>175</v>
      </c>
      <c r="F65" s="35">
        <f>IFERROR(F$63*$J$4^2*$L$56/(1.5*F$64),0)</f>
        <v>0</v>
      </c>
      <c r="G65" s="35">
        <f>IFERROR(G$63*$J$4^2*$L$56/(1.5*G$64),0)</f>
        <v>0</v>
      </c>
      <c r="H65" s="35">
        <f>IFERROR(H$63*$J$4^2*$L$56/(1.5*H$64),0)</f>
        <v>0</v>
      </c>
      <c r="I65" s="35">
        <f>IFERROR(I$63*$J$4^2*$L$56/(1.5*I$64),0)</f>
        <v>0</v>
      </c>
      <c r="J65" s="35">
        <f>IFERROR(J$63*$J$4^2*$L$56/(1.5*J$64),0)</f>
        <v>0</v>
      </c>
      <c r="K65" s="35">
        <f>IFERROR(K$63*$J$4^2*$L$56/(1.5*K$64),0)</f>
        <v>0</v>
      </c>
      <c r="L65" s="35">
        <f>IFERROR(L$63*$J$4^2*$L$56/(1.5*L$64),0)</f>
        <v>0</v>
      </c>
      <c r="M65" s="15"/>
    </row>
    <row r="66" spans="2:13" ht="15.6" customHeight="1" x14ac:dyDescent="0.3">
      <c r="B66" s="13"/>
      <c r="C66" s="14" t="s">
        <v>170</v>
      </c>
      <c r="D66" s="14"/>
      <c r="E66" s="24" t="s">
        <v>174</v>
      </c>
      <c r="F66" s="35">
        <f>IFERROR(F$63*$J$4*$L$56/3,0)</f>
        <v>0</v>
      </c>
      <c r="G66" s="35">
        <f>IFERROR(G$63*$J$4*$L$56/3,0)</f>
        <v>0</v>
      </c>
      <c r="H66" s="35">
        <f>IFERROR(H$63*$J$4*$L$56/3,0)</f>
        <v>0</v>
      </c>
      <c r="I66" s="35">
        <f>IFERROR(I$63*$J$4*$L$56/3,0)</f>
        <v>0</v>
      </c>
      <c r="J66" s="35">
        <f>IFERROR(J$63*$J$4*$L$56/3,0)</f>
        <v>0</v>
      </c>
      <c r="K66" s="35">
        <f>IFERROR(K$63*$J$4*$L$56/3,0)</f>
        <v>0</v>
      </c>
      <c r="L66" s="35">
        <f>IFERROR(L$63*$J$4*$L$56/3,0)</f>
        <v>0</v>
      </c>
      <c r="M66" s="15"/>
    </row>
    <row r="67" spans="2:13" x14ac:dyDescent="0.3">
      <c r="B67" s="13"/>
      <c r="D67" s="14"/>
      <c r="E67" s="24" t="s">
        <v>176</v>
      </c>
      <c r="F67" s="35">
        <f>IFERROR(F$63*$J$4*$L$56/6,0)</f>
        <v>0</v>
      </c>
      <c r="G67" s="35">
        <f>IFERROR(G$63*$J$4*$L$56/6,0)</f>
        <v>0</v>
      </c>
      <c r="H67" s="35">
        <f>IFERROR(H$63*$J$4*$L$56/6,0)</f>
        <v>0</v>
      </c>
      <c r="I67" s="35">
        <f>IFERROR(I$63*$J$4*$L$56/6,0)</f>
        <v>0</v>
      </c>
      <c r="J67" s="35">
        <f>IFERROR(J$63*$J$4*$L$56/6,0)</f>
        <v>0</v>
      </c>
      <c r="K67" s="35">
        <f>IFERROR(K$63*$J$4*$L$56/6,0)</f>
        <v>0</v>
      </c>
      <c r="L67" s="35">
        <f>IFERROR(L$63*$J$4*$L$56/6,0)</f>
        <v>0</v>
      </c>
      <c r="M67" s="15"/>
    </row>
    <row r="68" spans="2:13" ht="14.4" customHeight="1" x14ac:dyDescent="0.3">
      <c r="B68" s="13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5"/>
    </row>
    <row r="69" spans="2:13" x14ac:dyDescent="0.3">
      <c r="B69" s="13"/>
      <c r="D69" s="14"/>
      <c r="E69" s="95" t="s">
        <v>178</v>
      </c>
      <c r="F69" s="14"/>
      <c r="G69" s="14"/>
      <c r="H69" s="14"/>
      <c r="I69" s="14"/>
      <c r="J69" s="14"/>
      <c r="K69" s="14"/>
      <c r="L69" s="14"/>
      <c r="M69" s="15"/>
    </row>
    <row r="70" spans="2:13" x14ac:dyDescent="0.3">
      <c r="B70" s="13"/>
      <c r="D70" s="14"/>
      <c r="F70" s="14"/>
      <c r="G70" s="14"/>
      <c r="H70" s="14"/>
      <c r="I70" s="14"/>
      <c r="J70" s="14"/>
      <c r="K70" s="14"/>
      <c r="L70" s="14"/>
      <c r="M70" s="15"/>
    </row>
    <row r="71" spans="2:13" ht="14.4" customHeight="1" x14ac:dyDescent="0.3">
      <c r="B71" s="13"/>
      <c r="D71" s="14"/>
      <c r="E71" s="35" t="s">
        <v>171</v>
      </c>
      <c r="F71" s="35">
        <v>1</v>
      </c>
      <c r="G71" s="35">
        <v>2</v>
      </c>
      <c r="H71" s="35">
        <v>3</v>
      </c>
      <c r="I71" s="35">
        <v>4</v>
      </c>
      <c r="J71" s="35">
        <v>5</v>
      </c>
      <c r="K71" s="35">
        <v>6</v>
      </c>
      <c r="L71" s="35">
        <v>7</v>
      </c>
      <c r="M71" s="15"/>
    </row>
    <row r="72" spans="2:13" x14ac:dyDescent="0.3">
      <c r="B72" s="13"/>
      <c r="D72" s="14"/>
      <c r="E72" s="24" t="s">
        <v>177</v>
      </c>
      <c r="F72" s="77"/>
      <c r="G72" s="77"/>
      <c r="H72" s="77"/>
      <c r="I72" s="77"/>
      <c r="J72" s="77"/>
      <c r="K72" s="77"/>
      <c r="L72" s="77"/>
      <c r="M72" s="15"/>
    </row>
    <row r="73" spans="2:13" x14ac:dyDescent="0.3">
      <c r="B73" s="13"/>
      <c r="D73" s="14"/>
      <c r="E73" s="14"/>
      <c r="F73" s="14"/>
      <c r="G73" s="14"/>
      <c r="H73" s="14"/>
      <c r="I73" s="14"/>
      <c r="J73" s="14"/>
      <c r="K73" s="14"/>
      <c r="L73" s="14"/>
      <c r="M73" s="15"/>
    </row>
    <row r="74" spans="2:13" x14ac:dyDescent="0.3">
      <c r="B74" s="13"/>
      <c r="D74" s="14"/>
      <c r="E74" s="14"/>
      <c r="F74" s="14"/>
      <c r="G74" s="14"/>
      <c r="H74" s="14"/>
      <c r="I74" s="14"/>
      <c r="J74" s="14"/>
      <c r="K74" s="14"/>
      <c r="L74" s="14"/>
      <c r="M74" s="15"/>
    </row>
    <row r="75" spans="2:13" ht="14.4" customHeight="1" x14ac:dyDescent="0.3">
      <c r="B75" s="13"/>
      <c r="D75" s="14"/>
      <c r="E75" s="14" t="s">
        <v>218</v>
      </c>
      <c r="F75" s="14"/>
      <c r="G75" s="14"/>
      <c r="H75" s="14"/>
      <c r="J75" s="14"/>
      <c r="K75" s="14"/>
      <c r="L75" s="14"/>
      <c r="M75" s="15"/>
    </row>
    <row r="76" spans="2:13" x14ac:dyDescent="0.3">
      <c r="B76" s="13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5"/>
    </row>
    <row r="77" spans="2:13" x14ac:dyDescent="0.3">
      <c r="B77" s="13"/>
      <c r="C77" s="14"/>
      <c r="D77" s="14"/>
      <c r="E77" s="35" t="s">
        <v>171</v>
      </c>
      <c r="F77" s="35">
        <v>1</v>
      </c>
      <c r="G77" s="35">
        <v>2</v>
      </c>
      <c r="H77" s="35">
        <v>3</v>
      </c>
      <c r="I77" s="35">
        <v>4</v>
      </c>
      <c r="J77" s="35">
        <v>5</v>
      </c>
      <c r="K77" s="35">
        <v>6</v>
      </c>
      <c r="L77" s="35">
        <v>7</v>
      </c>
      <c r="M77" s="15"/>
    </row>
    <row r="78" spans="2:13" ht="14.4" customHeight="1" x14ac:dyDescent="0.3">
      <c r="B78" s="13"/>
      <c r="C78" s="14"/>
      <c r="D78" s="14"/>
      <c r="E78" s="24" t="s">
        <v>131</v>
      </c>
      <c r="F78" s="35">
        <f>0.2*F72</f>
        <v>0</v>
      </c>
      <c r="G78" s="35">
        <f t="shared" ref="G78:L78" si="0">0.2*G72</f>
        <v>0</v>
      </c>
      <c r="H78" s="35">
        <f t="shared" si="0"/>
        <v>0</v>
      </c>
      <c r="I78" s="35">
        <f t="shared" si="0"/>
        <v>0</v>
      </c>
      <c r="J78" s="35">
        <f t="shared" si="0"/>
        <v>0</v>
      </c>
      <c r="K78" s="35">
        <f t="shared" si="0"/>
        <v>0</v>
      </c>
      <c r="L78" s="35">
        <f t="shared" si="0"/>
        <v>0</v>
      </c>
      <c r="M78" s="15"/>
    </row>
    <row r="79" spans="2:13" x14ac:dyDescent="0.3">
      <c r="B79" s="13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5"/>
    </row>
    <row r="80" spans="2:13" x14ac:dyDescent="0.3">
      <c r="B80" s="13"/>
      <c r="C80" s="14"/>
      <c r="D80" s="14"/>
      <c r="E80" s="14" t="s">
        <v>179</v>
      </c>
      <c r="F80" s="14"/>
      <c r="G80" s="14"/>
      <c r="H80" s="14"/>
      <c r="I80" s="14"/>
      <c r="J80" s="14"/>
      <c r="K80" s="14"/>
      <c r="L80" s="14"/>
      <c r="M80" s="15"/>
    </row>
    <row r="81" spans="2:13" x14ac:dyDescent="0.3">
      <c r="B81" s="13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5"/>
    </row>
    <row r="82" spans="2:13" ht="14.4" customHeight="1" x14ac:dyDescent="0.3">
      <c r="B82" s="13"/>
      <c r="C82" s="14"/>
      <c r="D82" s="14"/>
      <c r="E82" s="35" t="s">
        <v>171</v>
      </c>
      <c r="F82" s="35">
        <v>1</v>
      </c>
      <c r="G82" s="35">
        <v>2</v>
      </c>
      <c r="H82" s="35">
        <v>3</v>
      </c>
      <c r="I82" s="35">
        <v>4</v>
      </c>
      <c r="J82" s="35">
        <v>5</v>
      </c>
      <c r="K82" s="35">
        <v>6</v>
      </c>
      <c r="L82" s="35">
        <v>7</v>
      </c>
      <c r="M82" s="15"/>
    </row>
    <row r="83" spans="2:13" x14ac:dyDescent="0.3">
      <c r="B83" s="13"/>
      <c r="C83" s="14"/>
      <c r="D83" s="14"/>
      <c r="E83" s="35" t="s">
        <v>136</v>
      </c>
      <c r="F83" s="35">
        <f>SUM(F78,F72,)</f>
        <v>0</v>
      </c>
      <c r="G83" s="35">
        <f t="shared" ref="G83:L83" si="1">SUM(G78,G72,)</f>
        <v>0</v>
      </c>
      <c r="H83" s="35">
        <f t="shared" si="1"/>
        <v>0</v>
      </c>
      <c r="I83" s="35">
        <f t="shared" si="1"/>
        <v>0</v>
      </c>
      <c r="J83" s="35">
        <f t="shared" si="1"/>
        <v>0</v>
      </c>
      <c r="K83" s="35">
        <f t="shared" si="1"/>
        <v>0</v>
      </c>
      <c r="L83" s="35">
        <f t="shared" si="1"/>
        <v>0</v>
      </c>
      <c r="M83" s="15"/>
    </row>
    <row r="84" spans="2:13" x14ac:dyDescent="0.3"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5"/>
    </row>
    <row r="85" spans="2:13" x14ac:dyDescent="0.3">
      <c r="B85" s="13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5"/>
    </row>
    <row r="86" spans="2:13" ht="14.4" customHeight="1" thickBot="1" x14ac:dyDescent="0.35">
      <c r="B86" s="20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2"/>
    </row>
  </sheetData>
  <mergeCells count="7">
    <mergeCell ref="C34:G34"/>
    <mergeCell ref="C5:G5"/>
    <mergeCell ref="H4:I4"/>
    <mergeCell ref="H5:I5"/>
    <mergeCell ref="D10:E10"/>
    <mergeCell ref="C18:G18"/>
    <mergeCell ref="H6:I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2065-0BAD-455E-8851-D5B458950714}">
  <dimension ref="B1:AG86"/>
  <sheetViews>
    <sheetView showGridLines="0" topLeftCell="A22" zoomScale="60" zoomScaleNormal="60" workbookViewId="0">
      <selection activeCell="N53" sqref="N53"/>
    </sheetView>
  </sheetViews>
  <sheetFormatPr defaultRowHeight="14.4" x14ac:dyDescent="0.3"/>
  <cols>
    <col min="4" max="4" width="23.6640625" customWidth="1"/>
    <col min="5" max="7" width="14.33203125" bestFit="1" customWidth="1"/>
    <col min="8" max="8" width="14" customWidth="1"/>
    <col min="9" max="9" width="14.5546875" customWidth="1"/>
    <col min="10" max="11" width="14.33203125" bestFit="1" customWidth="1"/>
    <col min="13" max="13" width="23.33203125" customWidth="1"/>
    <col min="14" max="14" width="28.88671875" customWidth="1"/>
    <col min="24" max="24" width="11.77734375" customWidth="1"/>
  </cols>
  <sheetData>
    <row r="1" spans="2:33" ht="39" customHeight="1" thickBot="1" x14ac:dyDescent="0.4">
      <c r="C1" s="100" t="s">
        <v>229</v>
      </c>
    </row>
    <row r="2" spans="2:33" x14ac:dyDescent="0.3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  <c r="R2" s="1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spans="2:33" ht="15" thickBot="1" x14ac:dyDescent="0.35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  <c r="R3" s="4"/>
      <c r="AG3" s="5"/>
    </row>
    <row r="4" spans="2:33" ht="15" thickBot="1" x14ac:dyDescent="0.3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  <c r="R4" s="4"/>
      <c r="V4" s="134" t="s">
        <v>110</v>
      </c>
      <c r="W4" s="135"/>
      <c r="X4" s="71" t="s">
        <v>181</v>
      </c>
      <c r="AD4" s="134" t="s">
        <v>110</v>
      </c>
      <c r="AE4" s="135"/>
      <c r="AF4" s="71" t="s">
        <v>181</v>
      </c>
      <c r="AG4" s="5"/>
    </row>
    <row r="5" spans="2:33" ht="15" thickBot="1" x14ac:dyDescent="0.3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  <c r="R5" s="4"/>
      <c r="V5" s="69" t="s">
        <v>124</v>
      </c>
      <c r="W5" s="97"/>
      <c r="X5" s="71">
        <f>SQRT(W5^2+4*W5*W6)</f>
        <v>0</v>
      </c>
      <c r="AD5" s="96" t="s">
        <v>124</v>
      </c>
      <c r="AE5" s="98"/>
      <c r="AF5" s="71">
        <f>SQRT(AE5^2+2*AE8*(AE5+AE6)+AE7^2-AE6^2)</f>
        <v>0</v>
      </c>
      <c r="AG5" s="5"/>
    </row>
    <row r="6" spans="2:33" ht="15" thickBot="1" x14ac:dyDescent="0.35">
      <c r="B6" s="13"/>
      <c r="C6" s="14"/>
      <c r="D6" s="117" t="s">
        <v>189</v>
      </c>
      <c r="E6" s="117"/>
      <c r="F6" s="117"/>
      <c r="G6" s="117"/>
      <c r="H6" s="117"/>
      <c r="I6" s="117"/>
      <c r="J6" s="117"/>
      <c r="K6" s="117"/>
      <c r="L6" s="14"/>
      <c r="M6" s="14"/>
      <c r="N6" s="15"/>
      <c r="R6" s="4"/>
      <c r="V6" s="96" t="s">
        <v>91</v>
      </c>
      <c r="W6" s="98"/>
      <c r="AD6" s="96" t="s">
        <v>182</v>
      </c>
      <c r="AE6" s="98"/>
      <c r="AG6" s="5"/>
    </row>
    <row r="7" spans="2:33" ht="15" thickBot="1" x14ac:dyDescent="0.35">
      <c r="B7" s="13"/>
      <c r="C7" s="14"/>
      <c r="D7" s="14"/>
      <c r="E7" s="14"/>
      <c r="F7" s="14"/>
      <c r="G7" s="14"/>
      <c r="H7" s="14"/>
      <c r="I7" s="14"/>
      <c r="J7" s="14"/>
      <c r="L7" s="14"/>
      <c r="M7" s="14"/>
      <c r="N7" s="15"/>
      <c r="R7" s="4"/>
      <c r="AD7" s="96" t="s">
        <v>185</v>
      </c>
      <c r="AE7" s="98"/>
      <c r="AG7" s="5"/>
    </row>
    <row r="8" spans="2:33" ht="15" thickBot="1" x14ac:dyDescent="0.35">
      <c r="B8" s="13"/>
      <c r="C8" s="14"/>
      <c r="D8" s="35" t="s">
        <v>206</v>
      </c>
      <c r="E8" s="35">
        <v>1</v>
      </c>
      <c r="F8" s="35">
        <v>2</v>
      </c>
      <c r="G8" s="35">
        <v>3</v>
      </c>
      <c r="H8" s="35">
        <v>4</v>
      </c>
      <c r="I8" s="35">
        <v>5</v>
      </c>
      <c r="J8" s="35">
        <v>6</v>
      </c>
      <c r="K8" s="35">
        <v>7</v>
      </c>
      <c r="L8" s="14"/>
      <c r="M8" s="14"/>
      <c r="N8" s="15"/>
      <c r="R8" s="4"/>
      <c r="AD8" s="96" t="s">
        <v>187</v>
      </c>
      <c r="AE8" s="98"/>
      <c r="AG8" s="5"/>
    </row>
    <row r="9" spans="2:33" x14ac:dyDescent="0.3">
      <c r="B9" s="13"/>
      <c r="C9" s="14"/>
      <c r="D9" s="24" t="s">
        <v>188</v>
      </c>
      <c r="E9" s="77"/>
      <c r="F9" s="77"/>
      <c r="G9" s="77"/>
      <c r="H9" s="77"/>
      <c r="I9" s="77"/>
      <c r="J9" s="77"/>
      <c r="K9" s="77"/>
      <c r="L9" s="14"/>
      <c r="M9" s="14"/>
      <c r="N9" s="15"/>
      <c r="R9" s="4"/>
      <c r="AG9" s="5"/>
    </row>
    <row r="10" spans="2:33" x14ac:dyDescent="0.3">
      <c r="B10" s="13"/>
      <c r="C10" s="14"/>
      <c r="D10" s="24" t="s">
        <v>181</v>
      </c>
      <c r="E10" s="77"/>
      <c r="F10" s="77"/>
      <c r="G10" s="77"/>
      <c r="H10" s="77"/>
      <c r="I10" s="77"/>
      <c r="J10" s="77"/>
      <c r="K10" s="77"/>
      <c r="L10" s="14"/>
      <c r="M10" s="14"/>
      <c r="N10" s="15"/>
      <c r="R10" s="4"/>
      <c r="AG10" s="5"/>
    </row>
    <row r="11" spans="2:33" ht="15" thickBot="1" x14ac:dyDescent="0.35">
      <c r="B11" s="13"/>
      <c r="C11" s="14"/>
      <c r="L11" s="14"/>
      <c r="M11" s="14"/>
      <c r="N11" s="15"/>
      <c r="R11" s="4"/>
      <c r="AG11" s="5"/>
    </row>
    <row r="12" spans="2:33" ht="14.4" customHeight="1" thickBot="1" x14ac:dyDescent="0.35">
      <c r="B12" s="13"/>
      <c r="C12" s="14"/>
      <c r="D12" s="14" t="s">
        <v>190</v>
      </c>
      <c r="E12" s="14"/>
      <c r="F12" s="14"/>
      <c r="G12" s="14"/>
      <c r="H12" s="14"/>
      <c r="I12" s="14"/>
      <c r="J12" s="14"/>
      <c r="K12" s="14"/>
      <c r="L12" s="14"/>
      <c r="M12" s="14"/>
      <c r="N12" s="15"/>
      <c r="R12" s="4"/>
      <c r="V12" s="134" t="s">
        <v>110</v>
      </c>
      <c r="W12" s="135"/>
      <c r="X12" s="71" t="s">
        <v>181</v>
      </c>
      <c r="AD12" s="134" t="s">
        <v>110</v>
      </c>
      <c r="AE12" s="135"/>
      <c r="AF12" s="71" t="s">
        <v>181</v>
      </c>
      <c r="AG12" s="5"/>
    </row>
    <row r="13" spans="2:33" ht="15" thickBot="1" x14ac:dyDescent="0.35"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/>
      <c r="R13" s="4"/>
      <c r="V13" s="96" t="s">
        <v>124</v>
      </c>
      <c r="W13" s="98"/>
      <c r="X13" s="71">
        <f>SQRT(W14^2+4*W13*(W16+0.57*W17)+4*W14+W15)</f>
        <v>0</v>
      </c>
      <c r="AD13" s="69" t="s">
        <v>124</v>
      </c>
      <c r="AE13" s="97"/>
      <c r="AF13" s="71">
        <f>SQRT(AE13^2+2*AE13*AE14)*1.414</f>
        <v>0</v>
      </c>
      <c r="AG13" s="5"/>
    </row>
    <row r="14" spans="2:33" ht="15" thickBot="1" x14ac:dyDescent="0.35">
      <c r="B14" s="13"/>
      <c r="C14" s="14"/>
      <c r="D14" s="35" t="s">
        <v>206</v>
      </c>
      <c r="E14" s="35">
        <v>1</v>
      </c>
      <c r="F14" s="35">
        <v>2</v>
      </c>
      <c r="G14" s="35">
        <v>3</v>
      </c>
      <c r="H14" s="35">
        <v>4</v>
      </c>
      <c r="I14" s="35">
        <v>5</v>
      </c>
      <c r="J14" s="35">
        <v>6</v>
      </c>
      <c r="K14" s="35">
        <v>7</v>
      </c>
      <c r="L14" s="14"/>
      <c r="M14" s="14"/>
      <c r="N14" s="15"/>
      <c r="R14" s="4"/>
      <c r="V14" s="96" t="s">
        <v>182</v>
      </c>
      <c r="W14" s="98"/>
      <c r="AD14" s="96" t="s">
        <v>91</v>
      </c>
      <c r="AE14" s="98"/>
      <c r="AG14" s="5"/>
    </row>
    <row r="15" spans="2:33" ht="15" thickBot="1" x14ac:dyDescent="0.35">
      <c r="B15" s="13"/>
      <c r="C15" s="14"/>
      <c r="D15" s="24" t="s">
        <v>191</v>
      </c>
      <c r="E15" s="32">
        <f>IFERROR(E9/E10,0)</f>
        <v>0</v>
      </c>
      <c r="F15" s="32">
        <f t="shared" ref="F15:K15" si="0">IFERROR(F9/F10,0)</f>
        <v>0</v>
      </c>
      <c r="G15" s="32">
        <f t="shared" si="0"/>
        <v>0</v>
      </c>
      <c r="H15" s="32">
        <f t="shared" si="0"/>
        <v>0</v>
      </c>
      <c r="I15" s="32">
        <f t="shared" si="0"/>
        <v>0</v>
      </c>
      <c r="J15" s="32">
        <f t="shared" si="0"/>
        <v>0</v>
      </c>
      <c r="K15" s="32">
        <f t="shared" si="0"/>
        <v>0</v>
      </c>
      <c r="L15" s="14"/>
      <c r="M15" s="14"/>
      <c r="N15" s="15"/>
      <c r="R15" s="4"/>
      <c r="V15" s="96" t="s">
        <v>91</v>
      </c>
      <c r="W15" s="98"/>
      <c r="AG15" s="5"/>
    </row>
    <row r="16" spans="2:33" ht="15" thickBot="1" x14ac:dyDescent="0.35"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  <c r="R16" s="4"/>
      <c r="V16" s="96" t="s">
        <v>183</v>
      </c>
      <c r="W16" s="98"/>
      <c r="AG16" s="5"/>
    </row>
    <row r="17" spans="2:33" ht="15" thickBot="1" x14ac:dyDescent="0.35">
      <c r="B17" s="13"/>
      <c r="C17" s="14"/>
      <c r="D17" s="14" t="s">
        <v>192</v>
      </c>
      <c r="E17" s="14"/>
      <c r="F17" s="14"/>
      <c r="G17" s="14"/>
      <c r="H17" s="14"/>
      <c r="I17" s="14"/>
      <c r="J17" s="14"/>
      <c r="K17" s="14"/>
      <c r="L17" s="14"/>
      <c r="M17" s="14"/>
      <c r="N17" s="15"/>
      <c r="R17" s="4"/>
      <c r="V17" s="96" t="s">
        <v>184</v>
      </c>
      <c r="W17" s="98"/>
      <c r="AG17" s="5"/>
    </row>
    <row r="18" spans="2:33" ht="15" thickBot="1" x14ac:dyDescent="0.35"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/>
      <c r="R18" s="4"/>
      <c r="AG18" s="5"/>
    </row>
    <row r="19" spans="2:33" ht="15" thickBot="1" x14ac:dyDescent="0.35">
      <c r="B19" s="13"/>
      <c r="C19" s="14"/>
      <c r="D19" s="14"/>
      <c r="E19" s="14"/>
      <c r="F19" s="14"/>
      <c r="G19" s="14"/>
      <c r="H19" s="14" t="s">
        <v>193</v>
      </c>
      <c r="I19" s="14"/>
      <c r="J19" s="14"/>
      <c r="K19" s="14"/>
      <c r="L19" s="14"/>
      <c r="M19" s="14"/>
      <c r="N19" s="15"/>
      <c r="R19" s="4"/>
      <c r="AD19" s="134" t="s">
        <v>110</v>
      </c>
      <c r="AE19" s="135"/>
      <c r="AF19" s="71" t="s">
        <v>181</v>
      </c>
      <c r="AG19" s="5"/>
    </row>
    <row r="20" spans="2:33" ht="15" thickBot="1" x14ac:dyDescent="0.35"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R20" s="4"/>
      <c r="AD20" s="96" t="s">
        <v>124</v>
      </c>
      <c r="AE20" s="98"/>
      <c r="AF20" s="71">
        <f>SQRT(AE20^2+2*(AE23*(AE20+AE21)+2*AE21*AE22))</f>
        <v>0</v>
      </c>
      <c r="AG20" s="5"/>
    </row>
    <row r="21" spans="2:33" ht="15" thickBot="1" x14ac:dyDescent="0.35">
      <c r="B21" s="13"/>
      <c r="C21" s="14"/>
      <c r="D21" s="14"/>
      <c r="E21" s="14"/>
      <c r="F21" s="14"/>
      <c r="G21" s="14"/>
      <c r="H21" s="14"/>
      <c r="I21" s="14"/>
      <c r="K21" s="14"/>
      <c r="L21" s="14"/>
      <c r="M21" s="14"/>
      <c r="N21" s="15"/>
      <c r="R21" s="4"/>
      <c r="V21" s="134" t="s">
        <v>110</v>
      </c>
      <c r="W21" s="135"/>
      <c r="X21" s="71" t="s">
        <v>181</v>
      </c>
      <c r="AD21" s="96" t="s">
        <v>182</v>
      </c>
      <c r="AE21" s="98"/>
      <c r="AG21" s="5"/>
    </row>
    <row r="22" spans="2:33" ht="15" thickBot="1" x14ac:dyDescent="0.35"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5"/>
      <c r="R22" s="4"/>
      <c r="V22" s="96" t="s">
        <v>124</v>
      </c>
      <c r="W22" s="98"/>
      <c r="X22" s="71">
        <f>SQRT(W22^2+4*W22*(W23+0.57*W24))</f>
        <v>0</v>
      </c>
      <c r="AD22" s="96" t="s">
        <v>91</v>
      </c>
      <c r="AE22" s="98"/>
      <c r="AG22" s="5"/>
    </row>
    <row r="23" spans="2:33" ht="15" thickBot="1" x14ac:dyDescent="0.35"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5"/>
      <c r="R23" s="4"/>
      <c r="V23" s="96" t="s">
        <v>91</v>
      </c>
      <c r="W23" s="98"/>
      <c r="AD23" s="96" t="s">
        <v>187</v>
      </c>
      <c r="AE23" s="98"/>
      <c r="AG23" s="5"/>
    </row>
    <row r="24" spans="2:33" ht="15" thickBot="1" x14ac:dyDescent="0.35">
      <c r="B24" s="13"/>
      <c r="C24" s="14"/>
      <c r="D24" s="14"/>
      <c r="E24" s="14"/>
      <c r="F24" s="14"/>
      <c r="G24" s="14"/>
      <c r="H24" s="14"/>
      <c r="I24" s="14" t="s">
        <v>194</v>
      </c>
      <c r="J24" s="14"/>
      <c r="K24" s="14"/>
      <c r="L24" s="14"/>
      <c r="M24" s="14"/>
      <c r="N24" s="15"/>
      <c r="R24" s="4"/>
      <c r="V24" s="96" t="s">
        <v>184</v>
      </c>
      <c r="W24" s="98"/>
      <c r="AG24" s="5"/>
    </row>
    <row r="25" spans="2:33" x14ac:dyDescent="0.3">
      <c r="B25" s="13"/>
      <c r="C25" s="14"/>
      <c r="D25" s="14"/>
      <c r="E25" s="14"/>
      <c r="F25" s="14"/>
      <c r="G25" s="14"/>
      <c r="I25" s="14"/>
      <c r="J25" s="14"/>
      <c r="K25" s="14"/>
      <c r="L25" s="14"/>
      <c r="M25" s="14"/>
      <c r="N25" s="15"/>
      <c r="R25" s="4"/>
      <c r="AG25" s="5"/>
    </row>
    <row r="26" spans="2:33" ht="15" thickBot="1" x14ac:dyDescent="0.35">
      <c r="B26" s="13"/>
      <c r="C26" s="14"/>
      <c r="D26" s="14"/>
      <c r="E26" s="14"/>
      <c r="F26" s="14"/>
      <c r="G26" s="14"/>
      <c r="I26" s="14"/>
      <c r="J26" s="14"/>
      <c r="K26" s="14"/>
      <c r="L26" s="14"/>
      <c r="M26" s="14"/>
      <c r="N26" s="15"/>
      <c r="R26" s="4"/>
      <c r="AG26" s="5"/>
    </row>
    <row r="27" spans="2:33" ht="15" thickBot="1" x14ac:dyDescent="0.35">
      <c r="B27" s="13"/>
      <c r="C27" s="14"/>
      <c r="D27" s="23" t="s">
        <v>195</v>
      </c>
      <c r="E27" s="99"/>
      <c r="F27" s="14"/>
      <c r="G27" s="14"/>
      <c r="I27" s="14"/>
      <c r="J27" s="14"/>
      <c r="K27" s="14"/>
      <c r="L27" s="14"/>
      <c r="M27" s="14"/>
      <c r="N27" s="15"/>
      <c r="R27" s="4"/>
      <c r="AD27" s="134" t="s">
        <v>110</v>
      </c>
      <c r="AE27" s="135"/>
      <c r="AF27" s="71" t="s">
        <v>181</v>
      </c>
      <c r="AG27" s="5"/>
    </row>
    <row r="28" spans="2:33" ht="15" thickBot="1" x14ac:dyDescent="0.35">
      <c r="B28" s="13"/>
      <c r="C28" s="14"/>
      <c r="D28" s="23" t="s">
        <v>196</v>
      </c>
      <c r="E28" s="99"/>
      <c r="F28" s="14"/>
      <c r="G28" s="14"/>
      <c r="H28" s="14"/>
      <c r="I28" s="14"/>
      <c r="J28" s="14"/>
      <c r="K28" s="14"/>
      <c r="L28" s="14"/>
      <c r="M28" s="14"/>
      <c r="N28" s="15"/>
      <c r="R28" s="4"/>
      <c r="AD28" s="96" t="s">
        <v>124</v>
      </c>
      <c r="AE28" s="98"/>
      <c r="AF28" s="71">
        <f>SQRT(AE28^2+AE29^2+4*AE28*AE30)</f>
        <v>0</v>
      </c>
      <c r="AG28" s="5"/>
    </row>
    <row r="29" spans="2:33" ht="15" thickBot="1" x14ac:dyDescent="0.35"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"/>
      <c r="R29" s="4"/>
      <c r="V29" s="134" t="s">
        <v>110</v>
      </c>
      <c r="W29" s="135"/>
      <c r="X29" s="71" t="s">
        <v>181</v>
      </c>
      <c r="AD29" s="96" t="s">
        <v>182</v>
      </c>
      <c r="AE29" s="98"/>
      <c r="AG29" s="5"/>
    </row>
    <row r="30" spans="2:33" ht="15" thickBot="1" x14ac:dyDescent="0.35">
      <c r="B30" s="13"/>
      <c r="C30" s="14"/>
      <c r="D30" s="35" t="s">
        <v>206</v>
      </c>
      <c r="E30" s="35">
        <v>1</v>
      </c>
      <c r="F30" s="35">
        <v>2</v>
      </c>
      <c r="G30" s="35">
        <v>3</v>
      </c>
      <c r="H30" s="35">
        <v>4</v>
      </c>
      <c r="I30" s="35">
        <v>5</v>
      </c>
      <c r="J30" s="35">
        <v>6</v>
      </c>
      <c r="K30" s="35">
        <v>7</v>
      </c>
      <c r="L30" s="14"/>
      <c r="M30" s="14"/>
      <c r="N30" s="15"/>
      <c r="R30" s="4"/>
      <c r="V30" s="96" t="s">
        <v>124</v>
      </c>
      <c r="W30" s="98"/>
      <c r="X30" s="71">
        <f>SQRT(W32^2+4*(W30*W34+W31*W33))</f>
        <v>0</v>
      </c>
      <c r="AD30" s="96" t="s">
        <v>91</v>
      </c>
      <c r="AE30" s="98"/>
      <c r="AG30" s="5"/>
    </row>
    <row r="31" spans="2:33" ht="15" thickBot="1" x14ac:dyDescent="0.35">
      <c r="B31" s="13"/>
      <c r="C31" s="14"/>
      <c r="D31" s="24" t="s">
        <v>197</v>
      </c>
      <c r="E31" s="32" t="str">
        <f>IF(E15&lt;$E$27,E10*$E$27,"não necessita")</f>
        <v>não necessita</v>
      </c>
      <c r="F31" s="32" t="str">
        <f t="shared" ref="F31:K31" si="1">IF(F15&lt;$E$27,F10*$E$27,"não necessita")</f>
        <v>não necessita</v>
      </c>
      <c r="G31" s="32" t="str">
        <f t="shared" si="1"/>
        <v>não necessita</v>
      </c>
      <c r="H31" s="32" t="str">
        <f t="shared" si="1"/>
        <v>não necessita</v>
      </c>
      <c r="I31" s="32" t="str">
        <f t="shared" si="1"/>
        <v>não necessita</v>
      </c>
      <c r="J31" s="32" t="str">
        <f t="shared" si="1"/>
        <v>não necessita</v>
      </c>
      <c r="K31" s="32" t="str">
        <f t="shared" si="1"/>
        <v>não necessita</v>
      </c>
      <c r="L31" s="14"/>
      <c r="M31" s="14"/>
      <c r="N31" s="15"/>
      <c r="R31" s="4"/>
      <c r="V31" s="96" t="s">
        <v>182</v>
      </c>
      <c r="W31" s="98"/>
      <c r="AG31" s="5"/>
    </row>
    <row r="32" spans="2:33" ht="15" thickBot="1" x14ac:dyDescent="0.35">
      <c r="B32" s="13"/>
      <c r="C32" s="14"/>
      <c r="D32" s="24" t="s">
        <v>198</v>
      </c>
      <c r="E32" s="32" t="str">
        <f>IF(E31="não necessita","não necessita",IF(OR(E31&lt;$E$9,$E$9=E31),"não necessita",IF(E31*$E$28&gt;E$9,E31*$E$28,E$9)))</f>
        <v>não necessita</v>
      </c>
      <c r="F32" s="32" t="str">
        <f t="shared" ref="F32:K38" si="2">IF(F31="não necessita","não necessita",IF(OR(F31&lt;$E$9,$E$9=F31),"não necessita",IF(F31*$E$28&gt;F$9,F31*$E$28,F$9)))</f>
        <v>não necessita</v>
      </c>
      <c r="G32" s="32" t="str">
        <f t="shared" si="2"/>
        <v>não necessita</v>
      </c>
      <c r="H32" s="32" t="str">
        <f t="shared" si="2"/>
        <v>não necessita</v>
      </c>
      <c r="I32" s="32" t="str">
        <f t="shared" si="2"/>
        <v>não necessita</v>
      </c>
      <c r="J32" s="32" t="str">
        <f t="shared" si="2"/>
        <v>não necessita</v>
      </c>
      <c r="K32" s="32" t="str">
        <f t="shared" si="2"/>
        <v>não necessita</v>
      </c>
      <c r="L32" s="14"/>
      <c r="M32" s="14"/>
      <c r="N32" s="15"/>
      <c r="R32" s="4"/>
      <c r="V32" s="96" t="s">
        <v>185</v>
      </c>
      <c r="W32" s="98"/>
      <c r="AG32" s="5"/>
    </row>
    <row r="33" spans="2:33" ht="15" thickBot="1" x14ac:dyDescent="0.35">
      <c r="B33" s="13"/>
      <c r="C33" s="14"/>
      <c r="D33" s="24" t="s">
        <v>199</v>
      </c>
      <c r="E33" s="32" t="str">
        <f>IF(E32="não necessita","não necessita",IF(OR(E32&lt;$E$9,$E$9=E32),"não necessita",IF(E32*$E$28&gt;E$9,E32*$E$28,E$9)))</f>
        <v>não necessita</v>
      </c>
      <c r="F33" s="32" t="str">
        <f t="shared" si="2"/>
        <v>não necessita</v>
      </c>
      <c r="G33" s="32" t="str">
        <f t="shared" si="2"/>
        <v>não necessita</v>
      </c>
      <c r="H33" s="32" t="str">
        <f t="shared" si="2"/>
        <v>não necessita</v>
      </c>
      <c r="I33" s="32" t="str">
        <f t="shared" si="2"/>
        <v>não necessita</v>
      </c>
      <c r="J33" s="32" t="str">
        <f t="shared" si="2"/>
        <v>não necessita</v>
      </c>
      <c r="K33" s="32" t="str">
        <f t="shared" si="2"/>
        <v>não necessita</v>
      </c>
      <c r="L33" s="14"/>
      <c r="M33" s="14"/>
      <c r="N33" s="15"/>
      <c r="R33" s="4"/>
      <c r="V33" s="96" t="s">
        <v>91</v>
      </c>
      <c r="W33" s="98"/>
      <c r="AG33" s="5"/>
    </row>
    <row r="34" spans="2:33" ht="15" thickBot="1" x14ac:dyDescent="0.35">
      <c r="B34" s="13"/>
      <c r="C34" s="14"/>
      <c r="D34" s="24" t="s">
        <v>200</v>
      </c>
      <c r="E34" s="32" t="str">
        <f t="shared" ref="E34:E38" si="3">IF(E33="não necessita","não necessita",IF(OR(E33&lt;$E$9,$E$9=E33),"não necessita",IF(E33*$E$28&gt;E$9,E33*$E$28,E$9)))</f>
        <v>não necessita</v>
      </c>
      <c r="F34" s="32" t="str">
        <f t="shared" si="2"/>
        <v>não necessita</v>
      </c>
      <c r="G34" s="32" t="str">
        <f t="shared" si="2"/>
        <v>não necessita</v>
      </c>
      <c r="H34" s="32" t="str">
        <f t="shared" si="2"/>
        <v>não necessita</v>
      </c>
      <c r="I34" s="32" t="str">
        <f t="shared" si="2"/>
        <v>não necessita</v>
      </c>
      <c r="J34" s="32" t="str">
        <f t="shared" si="2"/>
        <v>não necessita</v>
      </c>
      <c r="K34" s="32" t="str">
        <f t="shared" si="2"/>
        <v>não necessita</v>
      </c>
      <c r="L34" s="14"/>
      <c r="M34" s="14"/>
      <c r="N34" s="15"/>
      <c r="R34" s="4"/>
      <c r="V34" s="96" t="s">
        <v>183</v>
      </c>
      <c r="W34" s="98"/>
      <c r="AG34" s="5"/>
    </row>
    <row r="35" spans="2:33" ht="15" thickBot="1" x14ac:dyDescent="0.35">
      <c r="B35" s="13"/>
      <c r="C35" s="14"/>
      <c r="D35" s="24" t="s">
        <v>201</v>
      </c>
      <c r="E35" s="32" t="str">
        <f t="shared" si="3"/>
        <v>não necessita</v>
      </c>
      <c r="F35" s="32" t="str">
        <f t="shared" si="2"/>
        <v>não necessita</v>
      </c>
      <c r="G35" s="32" t="str">
        <f t="shared" si="2"/>
        <v>não necessita</v>
      </c>
      <c r="H35" s="32" t="str">
        <f t="shared" si="2"/>
        <v>não necessita</v>
      </c>
      <c r="I35" s="32" t="str">
        <f t="shared" si="2"/>
        <v>não necessita</v>
      </c>
      <c r="J35" s="32" t="str">
        <f t="shared" si="2"/>
        <v>não necessita</v>
      </c>
      <c r="K35" s="32" t="str">
        <f t="shared" si="2"/>
        <v>não necessita</v>
      </c>
      <c r="L35" s="14"/>
      <c r="M35" s="14"/>
      <c r="N35" s="15"/>
      <c r="R35" s="4"/>
      <c r="AD35" s="134" t="s">
        <v>110</v>
      </c>
      <c r="AE35" s="135"/>
      <c r="AF35" s="71" t="s">
        <v>181</v>
      </c>
      <c r="AG35" s="5"/>
    </row>
    <row r="36" spans="2:33" ht="15" thickBot="1" x14ac:dyDescent="0.35">
      <c r="B36" s="13"/>
      <c r="C36" s="14"/>
      <c r="D36" s="24" t="s">
        <v>202</v>
      </c>
      <c r="E36" s="32" t="str">
        <f t="shared" si="3"/>
        <v>não necessita</v>
      </c>
      <c r="F36" s="32" t="str">
        <f t="shared" si="2"/>
        <v>não necessita</v>
      </c>
      <c r="G36" s="32" t="str">
        <f t="shared" si="2"/>
        <v>não necessita</v>
      </c>
      <c r="H36" s="32" t="str">
        <f t="shared" si="2"/>
        <v>não necessita</v>
      </c>
      <c r="I36" s="32" t="str">
        <f t="shared" si="2"/>
        <v>não necessita</v>
      </c>
      <c r="J36" s="32" t="str">
        <f t="shared" si="2"/>
        <v>não necessita</v>
      </c>
      <c r="K36" s="32" t="str">
        <f t="shared" si="2"/>
        <v>não necessita</v>
      </c>
      <c r="L36" s="14"/>
      <c r="M36" s="14"/>
      <c r="N36" s="15"/>
      <c r="R36" s="4"/>
      <c r="AD36" s="96" t="s">
        <v>124</v>
      </c>
      <c r="AE36" s="98"/>
      <c r="AF36" s="71">
        <f>1.414*AE36</f>
        <v>0</v>
      </c>
      <c r="AG36" s="5"/>
    </row>
    <row r="37" spans="2:33" ht="15" thickBot="1" x14ac:dyDescent="0.35">
      <c r="B37" s="13"/>
      <c r="C37" s="14"/>
      <c r="D37" s="24" t="s">
        <v>203</v>
      </c>
      <c r="E37" s="32" t="str">
        <f t="shared" si="3"/>
        <v>não necessita</v>
      </c>
      <c r="F37" s="32" t="str">
        <f t="shared" si="2"/>
        <v>não necessita</v>
      </c>
      <c r="G37" s="32" t="str">
        <f t="shared" si="2"/>
        <v>não necessita</v>
      </c>
      <c r="H37" s="32" t="str">
        <f t="shared" si="2"/>
        <v>não necessita</v>
      </c>
      <c r="I37" s="32" t="str">
        <f t="shared" si="2"/>
        <v>não necessita</v>
      </c>
      <c r="J37" s="32" t="str">
        <f t="shared" si="2"/>
        <v>não necessita</v>
      </c>
      <c r="K37" s="32" t="str">
        <f t="shared" si="2"/>
        <v>não necessita</v>
      </c>
      <c r="L37" s="14"/>
      <c r="M37" s="14"/>
      <c r="N37" s="15"/>
      <c r="R37" s="4"/>
      <c r="V37" s="134" t="s">
        <v>110</v>
      </c>
      <c r="W37" s="135"/>
      <c r="X37" s="71" t="s">
        <v>181</v>
      </c>
      <c r="AG37" s="5"/>
    </row>
    <row r="38" spans="2:33" ht="15" thickBot="1" x14ac:dyDescent="0.35">
      <c r="B38" s="13"/>
      <c r="C38" s="14"/>
      <c r="D38" s="24" t="s">
        <v>204</v>
      </c>
      <c r="E38" s="32" t="str">
        <f t="shared" si="3"/>
        <v>não necessita</v>
      </c>
      <c r="F38" s="32" t="str">
        <f t="shared" si="2"/>
        <v>não necessita</v>
      </c>
      <c r="G38" s="32" t="str">
        <f t="shared" si="2"/>
        <v>não necessita</v>
      </c>
      <c r="H38" s="32" t="str">
        <f t="shared" si="2"/>
        <v>não necessita</v>
      </c>
      <c r="I38" s="32" t="str">
        <f t="shared" si="2"/>
        <v>não necessita</v>
      </c>
      <c r="J38" s="32" t="str">
        <f t="shared" si="2"/>
        <v>não necessita</v>
      </c>
      <c r="K38" s="32" t="str">
        <f t="shared" si="2"/>
        <v>não necessita</v>
      </c>
      <c r="L38" s="14"/>
      <c r="M38" s="14"/>
      <c r="N38" s="15"/>
      <c r="R38" s="4"/>
      <c r="V38" s="96" t="s">
        <v>124</v>
      </c>
      <c r="W38" s="98"/>
      <c r="X38" s="71">
        <f>SQRT(W39^2+4*W38*W40)</f>
        <v>0</v>
      </c>
      <c r="AG38" s="5"/>
    </row>
    <row r="39" spans="2:33" ht="15" thickBot="1" x14ac:dyDescent="0.35"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5"/>
      <c r="R39" s="4"/>
      <c r="V39" s="96" t="s">
        <v>182</v>
      </c>
      <c r="W39" s="98"/>
      <c r="AG39" s="5"/>
    </row>
    <row r="40" spans="2:33" ht="15" thickBot="1" x14ac:dyDescent="0.35"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5"/>
      <c r="R40" s="4"/>
      <c r="V40" s="96" t="s">
        <v>91</v>
      </c>
      <c r="W40" s="98"/>
      <c r="AG40" s="5"/>
    </row>
    <row r="41" spans="2:33" ht="15" customHeight="1" thickBot="1" x14ac:dyDescent="0.35">
      <c r="B41" s="13"/>
      <c r="C41" s="14"/>
      <c r="D41" s="14" t="s">
        <v>205</v>
      </c>
      <c r="E41" s="14"/>
      <c r="F41" s="118" t="s">
        <v>68</v>
      </c>
      <c r="G41" s="115"/>
      <c r="H41" s="71">
        <f>'0. PROJETO GERAL'!F7</f>
        <v>0</v>
      </c>
      <c r="I41" s="14"/>
      <c r="J41" s="14"/>
      <c r="K41" s="14"/>
      <c r="L41" s="14"/>
      <c r="M41" s="14"/>
      <c r="N41" s="15"/>
      <c r="R41" s="4"/>
      <c r="AG41" s="5"/>
    </row>
    <row r="42" spans="2:33" ht="15" thickBot="1" x14ac:dyDescent="0.35">
      <c r="B42" s="13"/>
      <c r="C42" s="14"/>
      <c r="D42" s="14"/>
      <c r="E42" s="14"/>
      <c r="F42" s="118" t="s">
        <v>215</v>
      </c>
      <c r="G42" s="115"/>
      <c r="H42" s="98"/>
      <c r="I42" s="14"/>
      <c r="J42" s="14"/>
      <c r="K42" s="14"/>
      <c r="L42" s="14"/>
      <c r="M42" s="14"/>
      <c r="N42" s="15"/>
      <c r="R42" s="4"/>
      <c r="AD42" s="134" t="s">
        <v>110</v>
      </c>
      <c r="AE42" s="135"/>
      <c r="AF42" s="71" t="s">
        <v>181</v>
      </c>
      <c r="AG42" s="5"/>
    </row>
    <row r="43" spans="2:33" ht="15" thickBot="1" x14ac:dyDescent="0.35">
      <c r="B43" s="13"/>
      <c r="C43" s="14"/>
      <c r="E43" s="14"/>
      <c r="F43" s="14"/>
      <c r="G43" s="14"/>
      <c r="H43" s="14"/>
      <c r="I43" s="14"/>
      <c r="J43" s="14"/>
      <c r="K43" s="14"/>
      <c r="L43" s="14"/>
      <c r="M43" s="14"/>
      <c r="N43" s="15"/>
      <c r="R43" s="4"/>
      <c r="AD43" s="96" t="s">
        <v>124</v>
      </c>
      <c r="AE43" s="98"/>
      <c r="AF43" s="71">
        <f>SQRT(AE43^2+2*AE43*AE45+AE46*(AE43+AE44))</f>
        <v>0</v>
      </c>
      <c r="AG43" s="5"/>
    </row>
    <row r="44" spans="2:33" ht="15" thickBot="1" x14ac:dyDescent="0.35"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5"/>
      <c r="R44" s="4"/>
      <c r="AD44" s="96" t="s">
        <v>182</v>
      </c>
      <c r="AE44" s="98"/>
      <c r="AG44" s="5"/>
    </row>
    <row r="45" spans="2:33" ht="15" thickBot="1" x14ac:dyDescent="0.35">
      <c r="B45" s="13"/>
      <c r="C45" s="14"/>
      <c r="D45" s="14" t="s">
        <v>158</v>
      </c>
      <c r="E45" s="14"/>
      <c r="F45" s="14"/>
      <c r="G45" s="14"/>
      <c r="H45" s="14"/>
      <c r="I45" s="14"/>
      <c r="J45" s="14"/>
      <c r="K45" s="14"/>
      <c r="L45" s="14"/>
      <c r="M45" s="14"/>
      <c r="N45" s="15"/>
      <c r="R45" s="4"/>
      <c r="V45" s="134" t="s">
        <v>110</v>
      </c>
      <c r="W45" s="135"/>
      <c r="X45" s="71" t="s">
        <v>181</v>
      </c>
      <c r="AD45" s="96" t="s">
        <v>91</v>
      </c>
      <c r="AE45" s="98"/>
      <c r="AG45" s="5"/>
    </row>
    <row r="46" spans="2:33" ht="15" thickBot="1" x14ac:dyDescent="0.35">
      <c r="B46" s="13"/>
      <c r="C46" s="14"/>
      <c r="D46" s="35" t="s">
        <v>206</v>
      </c>
      <c r="E46" s="35">
        <v>1</v>
      </c>
      <c r="F46" s="35">
        <v>2</v>
      </c>
      <c r="G46" s="35">
        <v>3</v>
      </c>
      <c r="H46" s="35">
        <v>4</v>
      </c>
      <c r="I46" s="35">
        <v>5</v>
      </c>
      <c r="J46" s="35">
        <v>6</v>
      </c>
      <c r="K46" s="35">
        <v>7</v>
      </c>
      <c r="L46" s="14"/>
      <c r="M46" s="14"/>
      <c r="N46" s="15"/>
      <c r="R46" s="4"/>
      <c r="V46" s="96" t="s">
        <v>124</v>
      </c>
      <c r="W46" s="98"/>
      <c r="X46" s="71">
        <f>SQRT(W46^2+4*W46*W48+2*W49*(W47+W46))</f>
        <v>0</v>
      </c>
      <c r="AD46" s="96" t="s">
        <v>186</v>
      </c>
      <c r="AE46" s="98"/>
      <c r="AG46" s="5"/>
    </row>
    <row r="47" spans="2:33" ht="15" thickBot="1" x14ac:dyDescent="0.35">
      <c r="B47" s="13"/>
      <c r="C47" s="14"/>
      <c r="D47" s="35" t="s">
        <v>207</v>
      </c>
      <c r="E47" s="35">
        <f>IFERROR(IF(E31="não necessita",PI()*E$9*$H$41*$H$42*LN(E$10/E$9),PI()*E31*$H$41*$H$42*LN(E$10/E31)),0)</f>
        <v>0</v>
      </c>
      <c r="F47" s="35">
        <f t="shared" ref="F47:J47" si="4">IFERROR(IF(F31="não necessita",PI()*F$9*$H$41*$H$42*LN(F$10/F$9),PI()*F31*$H$41*$H$42*LN(F$10/F31)),0)</f>
        <v>0</v>
      </c>
      <c r="G47" s="35">
        <f t="shared" si="4"/>
        <v>0</v>
      </c>
      <c r="H47" s="35">
        <f t="shared" si="4"/>
        <v>0</v>
      </c>
      <c r="I47" s="35">
        <f t="shared" si="4"/>
        <v>0</v>
      </c>
      <c r="J47" s="35">
        <f t="shared" si="4"/>
        <v>0</v>
      </c>
      <c r="K47" s="35">
        <f>IFERROR(IF(K31="não necessita",PI()*K$9*$H$41*$H$42*LN(K$10/K$9),PI()*K31*$H$41*$H$42*LN(K$10/K31)),0)</f>
        <v>0</v>
      </c>
      <c r="L47" s="14"/>
      <c r="M47" s="14"/>
      <c r="N47" s="15"/>
      <c r="R47" s="4"/>
      <c r="V47" s="96" t="s">
        <v>182</v>
      </c>
      <c r="W47" s="98"/>
      <c r="AG47" s="5"/>
    </row>
    <row r="48" spans="2:33" ht="15" thickBot="1" x14ac:dyDescent="0.35">
      <c r="B48" s="13"/>
      <c r="C48" s="14"/>
      <c r="D48" s="35" t="s">
        <v>208</v>
      </c>
      <c r="E48" s="35">
        <f t="shared" ref="E48:K48" si="5">IFERROR(IF(E32="não necessita",0,PI()*E32*$H$41*$H$42*LN(E$10/E32)),0)</f>
        <v>0</v>
      </c>
      <c r="F48" s="35">
        <f t="shared" si="5"/>
        <v>0</v>
      </c>
      <c r="G48" s="35">
        <f t="shared" si="5"/>
        <v>0</v>
      </c>
      <c r="H48" s="35">
        <f t="shared" si="5"/>
        <v>0</v>
      </c>
      <c r="I48" s="35">
        <f t="shared" si="5"/>
        <v>0</v>
      </c>
      <c r="J48" s="35">
        <f t="shared" si="5"/>
        <v>0</v>
      </c>
      <c r="K48" s="35">
        <f t="shared" si="5"/>
        <v>0</v>
      </c>
      <c r="L48" s="14"/>
      <c r="M48" s="14"/>
      <c r="N48" s="15"/>
      <c r="R48" s="4"/>
      <c r="V48" s="96" t="s">
        <v>91</v>
      </c>
      <c r="W48" s="98"/>
      <c r="AG48" s="5"/>
    </row>
    <row r="49" spans="2:33" ht="15" thickBot="1" x14ac:dyDescent="0.35">
      <c r="B49" s="13"/>
      <c r="C49" s="14"/>
      <c r="D49" s="35" t="s">
        <v>209</v>
      </c>
      <c r="E49" s="35">
        <f t="shared" ref="E49:K49" si="6">IFERROR(IF(E33="não necessita",0,PI()*E33*$H$41*$H$42*LN(E$10/E33)),0)</f>
        <v>0</v>
      </c>
      <c r="F49" s="35">
        <f t="shared" si="6"/>
        <v>0</v>
      </c>
      <c r="G49" s="35">
        <f t="shared" si="6"/>
        <v>0</v>
      </c>
      <c r="H49" s="35">
        <f t="shared" si="6"/>
        <v>0</v>
      </c>
      <c r="I49" s="35">
        <f t="shared" si="6"/>
        <v>0</v>
      </c>
      <c r="J49" s="35">
        <f t="shared" si="6"/>
        <v>0</v>
      </c>
      <c r="K49" s="35">
        <f t="shared" si="6"/>
        <v>0</v>
      </c>
      <c r="L49" s="14"/>
      <c r="M49" s="14"/>
      <c r="N49" s="15"/>
      <c r="R49" s="4"/>
      <c r="V49" s="96" t="s">
        <v>186</v>
      </c>
      <c r="W49" s="98"/>
      <c r="AG49" s="5"/>
    </row>
    <row r="50" spans="2:33" ht="15" thickBot="1" x14ac:dyDescent="0.35">
      <c r="B50" s="13"/>
      <c r="C50" s="14"/>
      <c r="D50" s="35" t="s">
        <v>210</v>
      </c>
      <c r="E50" s="35">
        <f t="shared" ref="E50:K50" si="7">IFERROR(IF(E34="não necessita",0,PI()*E34*$H$41*$H$42*LN(E$10/E34)),0)</f>
        <v>0</v>
      </c>
      <c r="F50" s="35">
        <f t="shared" si="7"/>
        <v>0</v>
      </c>
      <c r="G50" s="35">
        <f t="shared" si="7"/>
        <v>0</v>
      </c>
      <c r="H50" s="35">
        <f t="shared" si="7"/>
        <v>0</v>
      </c>
      <c r="I50" s="35">
        <f t="shared" si="7"/>
        <v>0</v>
      </c>
      <c r="J50" s="35">
        <f t="shared" si="7"/>
        <v>0</v>
      </c>
      <c r="K50" s="35">
        <f t="shared" si="7"/>
        <v>0</v>
      </c>
      <c r="L50" s="14"/>
      <c r="M50" s="14"/>
      <c r="N50" s="15"/>
      <c r="R50" s="4"/>
      <c r="AD50" s="134" t="s">
        <v>110</v>
      </c>
      <c r="AE50" s="135"/>
      <c r="AF50" s="71" t="s">
        <v>181</v>
      </c>
      <c r="AG50" s="5"/>
    </row>
    <row r="51" spans="2:33" ht="15" thickBot="1" x14ac:dyDescent="0.35">
      <c r="B51" s="13"/>
      <c r="C51" s="14"/>
      <c r="D51" s="35" t="s">
        <v>211</v>
      </c>
      <c r="E51" s="35">
        <f t="shared" ref="E51:K51" si="8">IFERROR(IF(E35="não necessita",0,PI()*E35*$H$41*$H$42*LN(E$10/E35)),0)</f>
        <v>0</v>
      </c>
      <c r="F51" s="35">
        <f t="shared" si="8"/>
        <v>0</v>
      </c>
      <c r="G51" s="35">
        <f t="shared" si="8"/>
        <v>0</v>
      </c>
      <c r="H51" s="35">
        <f t="shared" si="8"/>
        <v>0</v>
      </c>
      <c r="I51" s="35">
        <f t="shared" si="8"/>
        <v>0</v>
      </c>
      <c r="J51" s="35">
        <f t="shared" si="8"/>
        <v>0</v>
      </c>
      <c r="K51" s="35">
        <f t="shared" si="8"/>
        <v>0</v>
      </c>
      <c r="L51" s="14"/>
      <c r="M51" s="14"/>
      <c r="N51" s="15"/>
      <c r="R51" s="4"/>
      <c r="AD51" s="96" t="s">
        <v>124</v>
      </c>
      <c r="AE51" s="98"/>
      <c r="AF51" s="71">
        <f>SQRT(AE51^2+AE52^2)</f>
        <v>0</v>
      </c>
      <c r="AG51" s="5"/>
    </row>
    <row r="52" spans="2:33" ht="15" thickBot="1" x14ac:dyDescent="0.35">
      <c r="B52" s="13"/>
      <c r="C52" s="14"/>
      <c r="D52" s="35" t="s">
        <v>212</v>
      </c>
      <c r="E52" s="35">
        <f>IFERROR(IF(E36="não necessita",0,PI()*E36*$H$41*$H$42*LN(E$10/E36)),0)</f>
        <v>0</v>
      </c>
      <c r="F52" s="35">
        <f t="shared" ref="E52:K52" si="9">IFERROR(IF(F36="não necessita",0,PI()*F36*$H$41*$H$42*LN(F$10/F36)),0)</f>
        <v>0</v>
      </c>
      <c r="G52" s="35">
        <f t="shared" si="9"/>
        <v>0</v>
      </c>
      <c r="H52" s="35">
        <f t="shared" si="9"/>
        <v>0</v>
      </c>
      <c r="I52" s="35">
        <f t="shared" si="9"/>
        <v>0</v>
      </c>
      <c r="J52" s="35">
        <f t="shared" si="9"/>
        <v>0</v>
      </c>
      <c r="K52" s="35">
        <f t="shared" si="9"/>
        <v>0</v>
      </c>
      <c r="L52" s="14"/>
      <c r="M52" s="14"/>
      <c r="N52" s="15"/>
      <c r="R52" s="4"/>
      <c r="V52" s="134" t="s">
        <v>110</v>
      </c>
      <c r="W52" s="135"/>
      <c r="X52" s="71" t="s">
        <v>181</v>
      </c>
      <c r="AD52" s="96" t="s">
        <v>182</v>
      </c>
      <c r="AE52" s="98"/>
      <c r="AG52" s="5"/>
    </row>
    <row r="53" spans="2:33" ht="15" thickBot="1" x14ac:dyDescent="0.35">
      <c r="B53" s="13"/>
      <c r="C53" s="14"/>
      <c r="D53" s="35" t="s">
        <v>213</v>
      </c>
      <c r="E53" s="35">
        <f t="shared" ref="E53:K53" si="10">IFERROR(IF(E37="não necessita",0,PI()*E37*$H$41*$H$42*LN(E$10/E37)),0)</f>
        <v>0</v>
      </c>
      <c r="F53" s="35">
        <f t="shared" si="10"/>
        <v>0</v>
      </c>
      <c r="G53" s="35">
        <f t="shared" si="10"/>
        <v>0</v>
      </c>
      <c r="H53" s="35">
        <f t="shared" si="10"/>
        <v>0</v>
      </c>
      <c r="I53" s="35">
        <f t="shared" si="10"/>
        <v>0</v>
      </c>
      <c r="J53" s="35">
        <f t="shared" si="10"/>
        <v>0</v>
      </c>
      <c r="K53" s="35">
        <f t="shared" si="10"/>
        <v>0</v>
      </c>
      <c r="L53" s="14"/>
      <c r="M53" s="14"/>
      <c r="N53" s="15"/>
      <c r="R53" s="4"/>
      <c r="V53" s="96" t="s">
        <v>124</v>
      </c>
      <c r="W53" s="98"/>
      <c r="X53" s="71">
        <f>SQRT(W54^2+4*W53*(W55+0.57*(W56+W57)))</f>
        <v>0</v>
      </c>
      <c r="AG53" s="5"/>
    </row>
    <row r="54" spans="2:33" ht="15" thickBot="1" x14ac:dyDescent="0.35">
      <c r="B54" s="13"/>
      <c r="C54" s="14"/>
      <c r="D54" s="35" t="s">
        <v>214</v>
      </c>
      <c r="E54" s="35">
        <f>IFERROR(IF(E38="não necessita",0,PI()*E38*$H$41*$H$42*LN(E$10/E38)),0)</f>
        <v>0</v>
      </c>
      <c r="F54" s="35">
        <f t="shared" ref="F54:K54" si="11">IFERROR(IF(F38="não necessita",0,PI()*F38*$H$41*$H$42*LN(F$10/F38)),0)</f>
        <v>0</v>
      </c>
      <c r="G54" s="35">
        <f t="shared" si="11"/>
        <v>0</v>
      </c>
      <c r="H54" s="35">
        <f t="shared" si="11"/>
        <v>0</v>
      </c>
      <c r="I54" s="35">
        <f t="shared" si="11"/>
        <v>0</v>
      </c>
      <c r="J54" s="35">
        <f t="shared" si="11"/>
        <v>0</v>
      </c>
      <c r="K54" s="35">
        <f t="shared" si="11"/>
        <v>0</v>
      </c>
      <c r="L54" s="14"/>
      <c r="M54" s="14"/>
      <c r="N54" s="15"/>
      <c r="R54" s="4"/>
      <c r="V54" s="96" t="s">
        <v>182</v>
      </c>
      <c r="W54" s="98"/>
      <c r="AG54" s="5"/>
    </row>
    <row r="55" spans="2:33" ht="15" thickBot="1" x14ac:dyDescent="0.35">
      <c r="B55" s="13"/>
      <c r="C55" s="14"/>
      <c r="D55" s="35" t="s">
        <v>216</v>
      </c>
      <c r="E55" s="35">
        <f>SUM(E47:E54)</f>
        <v>0</v>
      </c>
      <c r="F55" s="35">
        <f t="shared" ref="F55:K55" si="12">SUM(F47:F54)</f>
        <v>0</v>
      </c>
      <c r="G55" s="35">
        <f t="shared" si="12"/>
        <v>0</v>
      </c>
      <c r="H55" s="35">
        <f t="shared" si="12"/>
        <v>0</v>
      </c>
      <c r="I55" s="35">
        <f t="shared" si="12"/>
        <v>0</v>
      </c>
      <c r="J55" s="35">
        <f t="shared" si="12"/>
        <v>0</v>
      </c>
      <c r="K55" s="35">
        <f t="shared" si="12"/>
        <v>0</v>
      </c>
      <c r="L55" s="14"/>
      <c r="M55" s="14"/>
      <c r="N55" s="15"/>
      <c r="R55" s="4"/>
      <c r="V55" s="96" t="s">
        <v>91</v>
      </c>
      <c r="W55" s="98"/>
      <c r="AG55" s="5"/>
    </row>
    <row r="56" spans="2:33" ht="15" thickBot="1" x14ac:dyDescent="0.35"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5"/>
      <c r="R56" s="4"/>
      <c r="V56" s="96" t="s">
        <v>121</v>
      </c>
      <c r="W56" s="98"/>
      <c r="AG56" s="5"/>
    </row>
    <row r="57" spans="2:33" ht="15" thickBot="1" x14ac:dyDescent="0.35">
      <c r="B57" s="13"/>
      <c r="C57" s="14"/>
      <c r="D57" s="14" t="s">
        <v>217</v>
      </c>
      <c r="E57" s="14"/>
      <c r="F57" s="14"/>
      <c r="G57" s="14"/>
      <c r="I57" s="14"/>
      <c r="J57" s="14"/>
      <c r="K57" s="14"/>
      <c r="L57" s="14"/>
      <c r="M57" s="14"/>
      <c r="N57" s="15"/>
      <c r="R57" s="4"/>
      <c r="V57" s="96" t="s">
        <v>184</v>
      </c>
      <c r="W57" s="98"/>
      <c r="AG57" s="5"/>
    </row>
    <row r="58" spans="2:33" ht="15" thickBot="1" x14ac:dyDescent="0.35">
      <c r="B58" s="1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5"/>
      <c r="R58" s="4"/>
      <c r="AD58" s="134" t="s">
        <v>110</v>
      </c>
      <c r="AE58" s="135"/>
      <c r="AF58" s="71" t="s">
        <v>181</v>
      </c>
      <c r="AG58" s="5"/>
    </row>
    <row r="59" spans="2:33" ht="14.4" customHeight="1" thickBot="1" x14ac:dyDescent="0.35">
      <c r="B59" s="13"/>
      <c r="C59" s="14"/>
      <c r="D59" s="35" t="s">
        <v>206</v>
      </c>
      <c r="E59" s="35">
        <v>1</v>
      </c>
      <c r="F59" s="35">
        <v>2</v>
      </c>
      <c r="G59" s="35">
        <v>3</v>
      </c>
      <c r="H59" s="35">
        <v>4</v>
      </c>
      <c r="I59" s="35">
        <v>5</v>
      </c>
      <c r="J59" s="35">
        <v>6</v>
      </c>
      <c r="K59" s="35">
        <v>7</v>
      </c>
      <c r="L59" s="14"/>
      <c r="M59" s="14"/>
      <c r="N59" s="15"/>
      <c r="R59" s="4"/>
      <c r="AD59" s="96" t="s">
        <v>124</v>
      </c>
      <c r="AE59" s="98"/>
      <c r="AF59" s="71">
        <f>SQRT(AE59^2+4*AE60^2)</f>
        <v>0</v>
      </c>
      <c r="AG59" s="5"/>
    </row>
    <row r="60" spans="2:33" ht="15" thickBot="1" x14ac:dyDescent="0.35">
      <c r="B60" s="13"/>
      <c r="C60" s="14"/>
      <c r="D60" s="24" t="s">
        <v>131</v>
      </c>
      <c r="E60" s="35">
        <f>0.3*E55</f>
        <v>0</v>
      </c>
      <c r="F60" s="35">
        <f t="shared" ref="F60:K60" si="13">0.3*F55</f>
        <v>0</v>
      </c>
      <c r="G60" s="35">
        <f t="shared" si="13"/>
        <v>0</v>
      </c>
      <c r="H60" s="35">
        <f t="shared" si="13"/>
        <v>0</v>
      </c>
      <c r="I60" s="35">
        <f t="shared" si="13"/>
        <v>0</v>
      </c>
      <c r="J60" s="35">
        <f t="shared" si="13"/>
        <v>0</v>
      </c>
      <c r="K60" s="35">
        <f t="shared" si="13"/>
        <v>0</v>
      </c>
      <c r="L60" s="14"/>
      <c r="M60" s="14"/>
      <c r="N60" s="15"/>
      <c r="R60" s="4"/>
      <c r="V60" s="134" t="s">
        <v>110</v>
      </c>
      <c r="W60" s="135"/>
      <c r="X60" s="71" t="s">
        <v>181</v>
      </c>
      <c r="AD60" s="96" t="s">
        <v>91</v>
      </c>
      <c r="AE60" s="98"/>
      <c r="AG60" s="5"/>
    </row>
    <row r="61" spans="2:33" ht="15" thickBot="1" x14ac:dyDescent="0.35"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5"/>
      <c r="R61" s="4"/>
      <c r="V61" s="96" t="s">
        <v>124</v>
      </c>
      <c r="W61" s="98"/>
      <c r="X61" s="71">
        <f>SQRT(W62^2+4*(W61*W65+W62*W64)+2*W66*(W62+W63))</f>
        <v>0</v>
      </c>
      <c r="AG61" s="5"/>
    </row>
    <row r="62" spans="2:33" ht="15" thickBot="1" x14ac:dyDescent="0.35">
      <c r="B62" s="13"/>
      <c r="C62" s="14"/>
      <c r="D62" s="14" t="s">
        <v>219</v>
      </c>
      <c r="E62" s="14"/>
      <c r="F62" s="14"/>
      <c r="G62" s="14"/>
      <c r="H62" s="14"/>
      <c r="I62" s="14"/>
      <c r="J62" s="14"/>
      <c r="K62" s="14"/>
      <c r="L62" s="14"/>
      <c r="M62" s="14"/>
      <c r="N62" s="15"/>
      <c r="R62" s="4"/>
      <c r="V62" s="96" t="s">
        <v>182</v>
      </c>
      <c r="W62" s="98"/>
      <c r="AG62" s="5"/>
    </row>
    <row r="63" spans="2:33" ht="15" thickBot="1" x14ac:dyDescent="0.35"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5"/>
      <c r="R63" s="4"/>
      <c r="V63" s="96" t="s">
        <v>185</v>
      </c>
      <c r="W63" s="98"/>
      <c r="AG63" s="5"/>
    </row>
    <row r="64" spans="2:33" ht="15" thickBot="1" x14ac:dyDescent="0.35">
      <c r="B64" s="13"/>
      <c r="C64" s="14"/>
      <c r="D64" s="35" t="s">
        <v>206</v>
      </c>
      <c r="E64" s="35">
        <v>1</v>
      </c>
      <c r="F64" s="35">
        <v>2</v>
      </c>
      <c r="G64" s="35">
        <v>3</v>
      </c>
      <c r="H64" s="35">
        <v>4</v>
      </c>
      <c r="I64" s="35">
        <v>5</v>
      </c>
      <c r="J64" s="35">
        <v>6</v>
      </c>
      <c r="K64" s="35">
        <v>7</v>
      </c>
      <c r="L64" s="14"/>
      <c r="M64" s="14"/>
      <c r="N64" s="15"/>
      <c r="R64" s="4"/>
      <c r="V64" s="96" t="s">
        <v>91</v>
      </c>
      <c r="W64" s="98"/>
      <c r="AG64" s="5"/>
    </row>
    <row r="65" spans="2:33" ht="15" thickBot="1" x14ac:dyDescent="0.35">
      <c r="B65" s="13"/>
      <c r="C65" s="14"/>
      <c r="D65" s="35" t="s">
        <v>136</v>
      </c>
      <c r="E65" s="35">
        <f>E60+E55</f>
        <v>0</v>
      </c>
      <c r="F65" s="35">
        <f t="shared" ref="F65:K65" si="14">F60+F55</f>
        <v>0</v>
      </c>
      <c r="G65" s="35">
        <f t="shared" si="14"/>
        <v>0</v>
      </c>
      <c r="H65" s="35">
        <f t="shared" si="14"/>
        <v>0</v>
      </c>
      <c r="I65" s="35">
        <f t="shared" si="14"/>
        <v>0</v>
      </c>
      <c r="J65" s="35">
        <f t="shared" si="14"/>
        <v>0</v>
      </c>
      <c r="K65" s="35">
        <f t="shared" si="14"/>
        <v>0</v>
      </c>
      <c r="L65" s="14"/>
      <c r="M65" s="14"/>
      <c r="N65" s="15"/>
      <c r="R65" s="4"/>
      <c r="V65" s="96" t="s">
        <v>183</v>
      </c>
      <c r="W65" s="98"/>
      <c r="AG65" s="5"/>
    </row>
    <row r="66" spans="2:33" ht="15" thickBot="1" x14ac:dyDescent="0.35"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5"/>
      <c r="R66" s="4"/>
      <c r="V66" s="96" t="s">
        <v>186</v>
      </c>
      <c r="W66" s="98"/>
      <c r="AD66" s="134" t="s">
        <v>110</v>
      </c>
      <c r="AE66" s="135"/>
      <c r="AF66" s="71" t="s">
        <v>181</v>
      </c>
      <c r="AG66" s="5"/>
    </row>
    <row r="67" spans="2:33" ht="15" thickBot="1" x14ac:dyDescent="0.35">
      <c r="B67" s="13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5"/>
      <c r="R67" s="4"/>
      <c r="AD67" s="96" t="s">
        <v>124</v>
      </c>
      <c r="AE67" s="98"/>
      <c r="AF67" s="71">
        <f>SQRT(AE67^2+AE69*(AE68+AE67))</f>
        <v>0</v>
      </c>
      <c r="AG67" s="5"/>
    </row>
    <row r="68" spans="2:33" ht="15" thickBot="1" x14ac:dyDescent="0.35">
      <c r="B68" s="13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5"/>
      <c r="R68" s="4"/>
      <c r="AD68" s="96" t="s">
        <v>182</v>
      </c>
      <c r="AE68" s="98"/>
      <c r="AG68" s="5"/>
    </row>
    <row r="69" spans="2:33" ht="15" thickBot="1" x14ac:dyDescent="0.35">
      <c r="B69" s="13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5"/>
      <c r="R69" s="4"/>
      <c r="V69" s="134" t="s">
        <v>110</v>
      </c>
      <c r="W69" s="135"/>
      <c r="X69" s="71" t="s">
        <v>181</v>
      </c>
      <c r="AD69" s="96" t="s">
        <v>186</v>
      </c>
      <c r="AE69" s="98"/>
      <c r="AG69" s="5"/>
    </row>
    <row r="70" spans="2:33" ht="15" thickBot="1" x14ac:dyDescent="0.35">
      <c r="B70" s="13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5"/>
      <c r="R70" s="4"/>
      <c r="V70" s="96" t="s">
        <v>124</v>
      </c>
      <c r="W70" s="98"/>
      <c r="X70" s="71">
        <f>SQRT(W71^2+4*(W70*W73+W71*W72))</f>
        <v>0</v>
      </c>
      <c r="AG70" s="5"/>
    </row>
    <row r="71" spans="2:33" ht="15" thickBot="1" x14ac:dyDescent="0.35">
      <c r="B71" s="13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5"/>
      <c r="R71" s="4"/>
      <c r="V71" s="96" t="s">
        <v>182</v>
      </c>
      <c r="W71" s="98"/>
      <c r="AG71" s="5"/>
    </row>
    <row r="72" spans="2:33" ht="15" thickBot="1" x14ac:dyDescent="0.35"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5"/>
      <c r="R72" s="4"/>
      <c r="V72" s="96" t="s">
        <v>91</v>
      </c>
      <c r="W72" s="98"/>
      <c r="AG72" s="5"/>
    </row>
    <row r="73" spans="2:33" ht="15" thickBot="1" x14ac:dyDescent="0.35">
      <c r="B73" s="13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5"/>
      <c r="R73" s="4"/>
      <c r="V73" s="96" t="s">
        <v>183</v>
      </c>
      <c r="W73" s="98"/>
      <c r="AG73" s="5"/>
    </row>
    <row r="74" spans="2:33" ht="15" thickBot="1" x14ac:dyDescent="0.35">
      <c r="B74" s="13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5"/>
      <c r="R74" s="4"/>
      <c r="AG74" s="5"/>
    </row>
    <row r="75" spans="2:33" ht="15" thickBot="1" x14ac:dyDescent="0.35">
      <c r="B75" s="13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5"/>
      <c r="R75" s="4"/>
      <c r="AD75" s="134" t="s">
        <v>110</v>
      </c>
      <c r="AE75" s="135"/>
      <c r="AF75" s="71" t="s">
        <v>181</v>
      </c>
      <c r="AG75" s="5"/>
    </row>
    <row r="76" spans="2:33" ht="15" thickBot="1" x14ac:dyDescent="0.35">
      <c r="B76" s="13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5"/>
      <c r="R76" s="4"/>
      <c r="AD76" s="96" t="s">
        <v>124</v>
      </c>
      <c r="AE76" s="98"/>
      <c r="AF76" s="71">
        <f>SQRT(AE77^2+4*AE78^2)</f>
        <v>0</v>
      </c>
      <c r="AG76" s="5"/>
    </row>
    <row r="77" spans="2:33" ht="15" thickBot="1" x14ac:dyDescent="0.35">
      <c r="B77" s="13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5"/>
      <c r="R77" s="4"/>
      <c r="AD77" s="96" t="s">
        <v>182</v>
      </c>
      <c r="AE77" s="98"/>
      <c r="AG77" s="5"/>
    </row>
    <row r="78" spans="2:33" ht="15" thickBot="1" x14ac:dyDescent="0.35"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5"/>
      <c r="R78" s="4"/>
      <c r="V78" s="134" t="s">
        <v>110</v>
      </c>
      <c r="W78" s="135"/>
      <c r="X78" s="71" t="s">
        <v>181</v>
      </c>
      <c r="AD78" s="96" t="s">
        <v>91</v>
      </c>
      <c r="AE78" s="98"/>
      <c r="AG78" s="5"/>
    </row>
    <row r="79" spans="2:33" ht="15" thickBot="1" x14ac:dyDescent="0.35">
      <c r="B79" s="13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5"/>
      <c r="R79" s="4"/>
      <c r="V79" s="96" t="s">
        <v>124</v>
      </c>
      <c r="W79" s="98"/>
      <c r="X79" s="71">
        <f>SQRT(W79^2+2*W81*(W80+W79))</f>
        <v>0</v>
      </c>
      <c r="AG79" s="5"/>
    </row>
    <row r="80" spans="2:33" ht="15" thickBot="1" x14ac:dyDescent="0.35">
      <c r="B80" s="13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5"/>
      <c r="R80" s="4"/>
      <c r="V80" s="96" t="s">
        <v>182</v>
      </c>
      <c r="W80" s="98"/>
      <c r="AG80" s="5"/>
    </row>
    <row r="81" spans="2:33" ht="15" thickBot="1" x14ac:dyDescent="0.35">
      <c r="B81" s="13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5"/>
      <c r="R81" s="4"/>
      <c r="V81" s="96" t="s">
        <v>187</v>
      </c>
      <c r="W81" s="98"/>
      <c r="AG81" s="5"/>
    </row>
    <row r="82" spans="2:33" x14ac:dyDescent="0.3">
      <c r="B82" s="13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5"/>
      <c r="R82" s="4"/>
      <c r="AG82" s="5"/>
    </row>
    <row r="83" spans="2:33" x14ac:dyDescent="0.3">
      <c r="B83" s="13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5"/>
      <c r="R83" s="4"/>
      <c r="AG83" s="5"/>
    </row>
    <row r="84" spans="2:33" ht="15" thickBot="1" x14ac:dyDescent="0.35">
      <c r="B84" s="20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2"/>
      <c r="R84" s="7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9"/>
    </row>
    <row r="86" spans="2:33" ht="14.4" customHeight="1" x14ac:dyDescent="0.3"/>
  </sheetData>
  <mergeCells count="23">
    <mergeCell ref="AD50:AE50"/>
    <mergeCell ref="AD58:AE58"/>
    <mergeCell ref="AD66:AE66"/>
    <mergeCell ref="AD75:AE75"/>
    <mergeCell ref="V52:W52"/>
    <mergeCell ref="V60:W60"/>
    <mergeCell ref="V69:W69"/>
    <mergeCell ref="F41:G41"/>
    <mergeCell ref="D6:K6"/>
    <mergeCell ref="V78:W78"/>
    <mergeCell ref="AD4:AE4"/>
    <mergeCell ref="AD12:AE12"/>
    <mergeCell ref="AD19:AE19"/>
    <mergeCell ref="AD27:AE27"/>
    <mergeCell ref="AD35:AE35"/>
    <mergeCell ref="AD42:AE42"/>
    <mergeCell ref="V4:W4"/>
    <mergeCell ref="V12:W12"/>
    <mergeCell ref="V21:W21"/>
    <mergeCell ref="V29:W29"/>
    <mergeCell ref="V37:W37"/>
    <mergeCell ref="V45:W45"/>
    <mergeCell ref="F42:G42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D1751-4E06-48E5-99F4-2B90798AEDE8}">
  <dimension ref="A1:E9"/>
  <sheetViews>
    <sheetView zoomScale="92" zoomScaleNormal="92" workbookViewId="0">
      <selection activeCell="E2" sqref="E2:E9"/>
    </sheetView>
  </sheetViews>
  <sheetFormatPr defaultRowHeight="14.4" x14ac:dyDescent="0.3"/>
  <cols>
    <col min="1" max="1" width="46.88671875" bestFit="1" customWidth="1"/>
    <col min="2" max="2" width="16.88671875" bestFit="1" customWidth="1"/>
    <col min="3" max="3" width="14.88671875" customWidth="1"/>
    <col min="4" max="4" width="18.21875" bestFit="1" customWidth="1"/>
    <col min="5" max="5" width="12.77734375" bestFit="1" customWidth="1"/>
  </cols>
  <sheetData>
    <row r="1" spans="1:5" s="108" customFormat="1" ht="28.2" customHeight="1" x14ac:dyDescent="0.3">
      <c r="A1" s="106" t="s">
        <v>239</v>
      </c>
      <c r="B1" s="107" t="s">
        <v>266</v>
      </c>
      <c r="C1" s="107" t="s">
        <v>268</v>
      </c>
      <c r="D1" s="107" t="s">
        <v>267</v>
      </c>
      <c r="E1" s="106" t="s">
        <v>248</v>
      </c>
    </row>
    <row r="2" spans="1:5" x14ac:dyDescent="0.3">
      <c r="A2" s="108" t="s">
        <v>242</v>
      </c>
      <c r="B2" s="158">
        <v>24.473279999999999</v>
      </c>
      <c r="C2" s="158">
        <v>36.709919999999997</v>
      </c>
      <c r="D2" s="158">
        <v>14.072135999999999</v>
      </c>
      <c r="E2" s="109">
        <v>5.78</v>
      </c>
    </row>
    <row r="3" spans="1:5" x14ac:dyDescent="0.3">
      <c r="A3" s="108" t="s">
        <v>247</v>
      </c>
      <c r="B3" s="158">
        <v>22.9437</v>
      </c>
      <c r="C3" s="158">
        <v>34.670479999999998</v>
      </c>
      <c r="D3" s="158">
        <v>13.256359999999999</v>
      </c>
      <c r="E3" s="109">
        <v>6.11</v>
      </c>
    </row>
    <row r="4" spans="1:5" x14ac:dyDescent="0.3">
      <c r="A4" s="108" t="s">
        <v>245</v>
      </c>
      <c r="B4" s="158">
        <v>35.180340000000001</v>
      </c>
      <c r="C4" s="158">
        <v>54.555019999999999</v>
      </c>
      <c r="D4" s="158">
        <v>20.292427999999997</v>
      </c>
      <c r="E4" s="109">
        <v>6.8</v>
      </c>
    </row>
    <row r="5" spans="1:5" x14ac:dyDescent="0.3">
      <c r="A5" s="108" t="s">
        <v>240</v>
      </c>
      <c r="B5" s="158">
        <v>25.492999999999999</v>
      </c>
      <c r="C5" s="158">
        <v>48.436699999999995</v>
      </c>
      <c r="D5" s="158">
        <v>14.683967999999998</v>
      </c>
      <c r="E5" s="109">
        <v>6.05</v>
      </c>
    </row>
    <row r="6" spans="1:5" x14ac:dyDescent="0.3">
      <c r="A6" s="108" t="s">
        <v>246</v>
      </c>
      <c r="B6" s="158">
        <v>49.456419999999994</v>
      </c>
      <c r="C6" s="158">
        <v>64.752219999999994</v>
      </c>
      <c r="D6" s="158">
        <v>28.552159999999997</v>
      </c>
      <c r="E6" s="109">
        <v>6.8</v>
      </c>
    </row>
    <row r="7" spans="1:5" x14ac:dyDescent="0.3">
      <c r="A7" s="108" t="s">
        <v>241</v>
      </c>
      <c r="B7" s="158">
        <v>31.611319999999999</v>
      </c>
      <c r="C7" s="158">
        <v>58.124039999999994</v>
      </c>
      <c r="D7" s="158">
        <v>18.252987999999998</v>
      </c>
      <c r="E7" s="109">
        <v>6.05</v>
      </c>
    </row>
    <row r="8" spans="1:5" x14ac:dyDescent="0.3">
      <c r="A8" s="108" t="s">
        <v>244</v>
      </c>
      <c r="B8" s="158">
        <v>35.180340000000001</v>
      </c>
      <c r="C8" s="158">
        <v>54.555019999999999</v>
      </c>
      <c r="D8" s="158">
        <v>20.292427999999997</v>
      </c>
      <c r="E8" s="109">
        <v>6.8</v>
      </c>
    </row>
    <row r="9" spans="1:5" x14ac:dyDescent="0.3">
      <c r="A9" s="108" t="s">
        <v>243</v>
      </c>
      <c r="B9" s="158">
        <v>35.180340000000001</v>
      </c>
      <c r="C9" s="158">
        <v>54.555019999999999</v>
      </c>
      <c r="D9" s="158">
        <v>20.292427999999997</v>
      </c>
      <c r="E9" s="109">
        <v>6.8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0. PROJETO GERAL</vt:lpstr>
      <vt:lpstr>1. DEFINIÇÕES DE TIRA</vt:lpstr>
      <vt:lpstr>2. LOCALIZAÇÃO DA ESPIGA</vt:lpstr>
      <vt:lpstr>3. DEFINIÇÕES DOS PUNÇÕES</vt:lpstr>
      <vt:lpstr>4. FORÇA DE CORTE</vt:lpstr>
      <vt:lpstr>5. FERRAMENTAS DE DOBRA</vt:lpstr>
      <vt:lpstr>6. FORÇA DE REPUXO</vt:lpstr>
      <vt:lpstr>7. MATERIAIS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toledo</dc:creator>
  <cp:lastModifiedBy>caio toledo</cp:lastModifiedBy>
  <cp:lastPrinted>2024-11-26T07:55:43Z</cp:lastPrinted>
  <dcterms:created xsi:type="dcterms:W3CDTF">2024-11-24T21:25:43Z</dcterms:created>
  <dcterms:modified xsi:type="dcterms:W3CDTF">2024-12-03T16:43:30Z</dcterms:modified>
</cp:coreProperties>
</file>