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Planilha1" sheetId="1" r:id="rId1"/>
  </sheets>
  <calcPr calcId="144525"/>
</workbook>
</file>

<file path=xl/sharedStrings.xml><?xml version="1.0" encoding="utf-8"?>
<sst xmlns="http://schemas.openxmlformats.org/spreadsheetml/2006/main" count="184" uniqueCount="142">
  <si>
    <t>Largura de base</t>
  </si>
  <si>
    <t>Tensão estimada</t>
  </si>
  <si>
    <t>Coeficiente de segurança</t>
  </si>
  <si>
    <t>Flexão</t>
  </si>
  <si>
    <t>Desgaste</t>
  </si>
  <si>
    <t>Máximo</t>
  </si>
  <si>
    <t>Especificações do projeto</t>
  </si>
  <si>
    <t>Potência:</t>
  </si>
  <si>
    <t>H =</t>
  </si>
  <si>
    <t>W</t>
  </si>
  <si>
    <t>n</t>
  </si>
  <si>
    <r>
      <rPr>
        <sz val="12"/>
        <color theme="1"/>
        <rFont val="Calibri"/>
        <charset val="134"/>
        <scheme val="minor"/>
      </rPr>
      <t>b</t>
    </r>
    <r>
      <rPr>
        <vertAlign val="subscript"/>
        <sz val="12"/>
        <color theme="1"/>
        <rFont val="Calibri"/>
        <charset val="134"/>
        <scheme val="minor"/>
      </rPr>
      <t>n-1</t>
    </r>
  </si>
  <si>
    <r>
      <rPr>
        <sz val="12"/>
        <color theme="1"/>
        <rFont val="Calibri"/>
        <charset val="134"/>
        <scheme val="minor"/>
      </rPr>
      <t>K</t>
    </r>
    <r>
      <rPr>
        <vertAlign val="subscript"/>
        <sz val="12"/>
        <color theme="1"/>
        <rFont val="Calibri"/>
        <charset val="134"/>
        <scheme val="minor"/>
      </rPr>
      <t>O</t>
    </r>
  </si>
  <si>
    <r>
      <rPr>
        <sz val="12"/>
        <color theme="1"/>
        <rFont val="Calibri"/>
        <charset val="134"/>
        <scheme val="minor"/>
      </rPr>
      <t>K</t>
    </r>
    <r>
      <rPr>
        <vertAlign val="subscript"/>
        <sz val="12"/>
        <color theme="1"/>
        <rFont val="Calibri"/>
        <charset val="134"/>
        <scheme val="minor"/>
      </rPr>
      <t>V</t>
    </r>
  </si>
  <si>
    <r>
      <rPr>
        <sz val="12"/>
        <color theme="1"/>
        <rFont val="Calibri"/>
        <charset val="134"/>
        <scheme val="minor"/>
      </rPr>
      <t>K</t>
    </r>
    <r>
      <rPr>
        <vertAlign val="subscript"/>
        <sz val="12"/>
        <color theme="1"/>
        <rFont val="Calibri"/>
        <charset val="134"/>
        <scheme val="minor"/>
      </rPr>
      <t>S</t>
    </r>
  </si>
  <si>
    <r>
      <rPr>
        <sz val="12"/>
        <color theme="1"/>
        <rFont val="Calibri"/>
        <charset val="134"/>
        <scheme val="minor"/>
      </rPr>
      <t>C</t>
    </r>
    <r>
      <rPr>
        <vertAlign val="subscript"/>
        <sz val="12"/>
        <color theme="1"/>
        <rFont val="Calibri"/>
        <charset val="134"/>
        <scheme val="minor"/>
      </rPr>
      <t>pf</t>
    </r>
  </si>
  <si>
    <r>
      <rPr>
        <sz val="12"/>
        <color theme="1"/>
        <rFont val="Calibri"/>
        <charset val="134"/>
        <scheme val="minor"/>
      </rPr>
      <t>C</t>
    </r>
    <r>
      <rPr>
        <vertAlign val="subscript"/>
        <sz val="12"/>
        <color theme="1"/>
        <rFont val="Calibri"/>
        <charset val="134"/>
        <scheme val="minor"/>
      </rPr>
      <t>ma</t>
    </r>
  </si>
  <si>
    <r>
      <rPr>
        <sz val="12"/>
        <color theme="1"/>
        <rFont val="Calibri"/>
        <charset val="134"/>
        <scheme val="minor"/>
      </rPr>
      <t>K</t>
    </r>
    <r>
      <rPr>
        <vertAlign val="subscript"/>
        <sz val="12"/>
        <color theme="1"/>
        <rFont val="Calibri"/>
        <charset val="134"/>
        <scheme val="minor"/>
      </rPr>
      <t>H</t>
    </r>
  </si>
  <si>
    <r>
      <rPr>
        <sz val="12"/>
        <color theme="1"/>
        <rFont val="Calibri"/>
        <charset val="134"/>
        <scheme val="minor"/>
      </rPr>
      <t>K</t>
    </r>
    <r>
      <rPr>
        <vertAlign val="subscript"/>
        <sz val="12"/>
        <color theme="1"/>
        <rFont val="Calibri"/>
        <charset val="134"/>
        <scheme val="minor"/>
      </rPr>
      <t>B</t>
    </r>
  </si>
  <si>
    <r>
      <rPr>
        <sz val="12"/>
        <color theme="1"/>
        <rFont val="Calibri"/>
        <charset val="134"/>
        <scheme val="minor"/>
      </rPr>
      <t>Y</t>
    </r>
    <r>
      <rPr>
        <vertAlign val="subscript"/>
        <sz val="12"/>
        <color theme="1"/>
        <rFont val="Calibri"/>
        <charset val="134"/>
        <scheme val="minor"/>
      </rPr>
      <t>JP</t>
    </r>
  </si>
  <si>
    <r>
      <rPr>
        <sz val="12"/>
        <color theme="1"/>
        <rFont val="Calibri"/>
        <charset val="134"/>
        <scheme val="minor"/>
      </rPr>
      <t>Y</t>
    </r>
    <r>
      <rPr>
        <vertAlign val="subscript"/>
        <sz val="12"/>
        <color theme="1"/>
        <rFont val="Calibri"/>
        <charset val="134"/>
        <scheme val="minor"/>
      </rPr>
      <t>JG</t>
    </r>
  </si>
  <si>
    <r>
      <rPr>
        <sz val="12"/>
        <color theme="1"/>
        <rFont val="Calibri"/>
        <charset val="134"/>
        <scheme val="minor"/>
      </rPr>
      <t>S</t>
    </r>
    <r>
      <rPr>
        <vertAlign val="subscript"/>
        <sz val="12"/>
        <color theme="1"/>
        <rFont val="Calibri"/>
        <charset val="134"/>
        <scheme val="minor"/>
      </rPr>
      <t>tP</t>
    </r>
  </si>
  <si>
    <r>
      <rPr>
        <sz val="12"/>
        <color theme="1"/>
        <rFont val="Calibri"/>
        <charset val="134"/>
        <scheme val="minor"/>
      </rPr>
      <t>S</t>
    </r>
    <r>
      <rPr>
        <vertAlign val="subscript"/>
        <sz val="12"/>
        <color theme="1"/>
        <rFont val="Calibri"/>
        <charset val="134"/>
        <scheme val="minor"/>
      </rPr>
      <t>tG</t>
    </r>
  </si>
  <si>
    <r>
      <rPr>
        <sz val="12"/>
        <color theme="1"/>
        <rFont val="Calibri"/>
        <charset val="134"/>
        <scheme val="minor"/>
      </rPr>
      <t>Y</t>
    </r>
    <r>
      <rPr>
        <vertAlign val="subscript"/>
        <sz val="12"/>
        <color theme="1"/>
        <rFont val="Calibri"/>
        <charset val="134"/>
        <scheme val="minor"/>
      </rPr>
      <t>NP</t>
    </r>
  </si>
  <si>
    <r>
      <rPr>
        <sz val="12"/>
        <color theme="1"/>
        <rFont val="Calibri"/>
        <charset val="134"/>
        <scheme val="minor"/>
      </rPr>
      <t>Y</t>
    </r>
    <r>
      <rPr>
        <vertAlign val="subscript"/>
        <sz val="12"/>
        <color theme="1"/>
        <rFont val="Calibri"/>
        <charset val="134"/>
        <scheme val="minor"/>
      </rPr>
      <t>NG</t>
    </r>
  </si>
  <si>
    <r>
      <rPr>
        <sz val="12"/>
        <color theme="1"/>
        <rFont val="Calibri"/>
        <charset val="134"/>
        <scheme val="minor"/>
      </rPr>
      <t>Y</t>
    </r>
    <r>
      <rPr>
        <vertAlign val="subscript"/>
        <sz val="12"/>
        <color theme="1"/>
        <rFont val="Symbol"/>
        <charset val="134"/>
      </rPr>
      <t>q</t>
    </r>
  </si>
  <si>
    <r>
      <rPr>
        <sz val="12"/>
        <color theme="1"/>
        <rFont val="Calibri"/>
        <charset val="134"/>
        <scheme val="minor"/>
      </rPr>
      <t>Y</t>
    </r>
    <r>
      <rPr>
        <vertAlign val="subscript"/>
        <sz val="12"/>
        <color theme="1"/>
        <rFont val="Calibri"/>
        <charset val="134"/>
        <scheme val="minor"/>
      </rPr>
      <t>Z</t>
    </r>
  </si>
  <si>
    <r>
      <rPr>
        <sz val="12"/>
        <color theme="1"/>
        <rFont val="Calibri"/>
        <charset val="134"/>
        <scheme val="minor"/>
      </rPr>
      <t>Z</t>
    </r>
    <r>
      <rPr>
        <vertAlign val="subscript"/>
        <sz val="12"/>
        <color theme="1"/>
        <rFont val="Calibri"/>
        <charset val="134"/>
        <scheme val="minor"/>
      </rPr>
      <t>E</t>
    </r>
  </si>
  <si>
    <r>
      <rPr>
        <sz val="12"/>
        <color theme="1"/>
        <rFont val="Calibri"/>
        <charset val="134"/>
        <scheme val="minor"/>
      </rPr>
      <t>Z</t>
    </r>
    <r>
      <rPr>
        <vertAlign val="subscript"/>
        <sz val="12"/>
        <color theme="1"/>
        <rFont val="Calibri"/>
        <charset val="134"/>
        <scheme val="minor"/>
      </rPr>
      <t>R</t>
    </r>
  </si>
  <si>
    <r>
      <rPr>
        <sz val="12"/>
        <color theme="1"/>
        <rFont val="Calibri"/>
        <charset val="134"/>
        <scheme val="minor"/>
      </rPr>
      <t>Z</t>
    </r>
    <r>
      <rPr>
        <vertAlign val="subscript"/>
        <sz val="12"/>
        <color theme="1"/>
        <rFont val="Calibri"/>
        <charset val="134"/>
        <scheme val="minor"/>
      </rPr>
      <t>I</t>
    </r>
  </si>
  <si>
    <r>
      <rPr>
        <sz val="12"/>
        <color theme="1"/>
        <rFont val="Calibri"/>
        <charset val="134"/>
        <scheme val="minor"/>
      </rPr>
      <t>S</t>
    </r>
    <r>
      <rPr>
        <vertAlign val="subscript"/>
        <sz val="12"/>
        <color theme="1"/>
        <rFont val="Calibri"/>
        <charset val="134"/>
        <scheme val="minor"/>
      </rPr>
      <t>c</t>
    </r>
  </si>
  <si>
    <r>
      <rPr>
        <sz val="12"/>
        <color theme="1"/>
        <rFont val="Calibri"/>
        <charset val="134"/>
        <scheme val="minor"/>
      </rPr>
      <t>Z</t>
    </r>
    <r>
      <rPr>
        <vertAlign val="subscript"/>
        <sz val="12"/>
        <color theme="1"/>
        <rFont val="Calibri"/>
        <charset val="134"/>
        <scheme val="minor"/>
      </rPr>
      <t>NP</t>
    </r>
  </si>
  <si>
    <r>
      <rPr>
        <sz val="12"/>
        <color theme="1"/>
        <rFont val="Calibri"/>
        <charset val="134"/>
        <scheme val="minor"/>
      </rPr>
      <t>Z</t>
    </r>
    <r>
      <rPr>
        <vertAlign val="subscript"/>
        <sz val="12"/>
        <color theme="1"/>
        <rFont val="Calibri"/>
        <charset val="134"/>
        <scheme val="minor"/>
      </rPr>
      <t>NG</t>
    </r>
  </si>
  <si>
    <r>
      <rPr>
        <sz val="12"/>
        <color theme="1"/>
        <rFont val="Calibri"/>
        <charset val="134"/>
        <scheme val="minor"/>
      </rPr>
      <t>Z</t>
    </r>
    <r>
      <rPr>
        <vertAlign val="subscript"/>
        <sz val="12"/>
        <color theme="1"/>
        <rFont val="Calibri"/>
        <charset val="134"/>
        <scheme val="minor"/>
      </rPr>
      <t>W</t>
    </r>
  </si>
  <si>
    <r>
      <rPr>
        <sz val="12"/>
        <color theme="1"/>
        <rFont val="Calibri"/>
        <charset val="134"/>
        <scheme val="minor"/>
      </rPr>
      <t>b</t>
    </r>
    <r>
      <rPr>
        <vertAlign val="subscript"/>
        <sz val="12"/>
        <color theme="1"/>
        <rFont val="Calibri"/>
        <charset val="134"/>
        <scheme val="minor"/>
      </rPr>
      <t>fP</t>
    </r>
  </si>
  <si>
    <r>
      <rPr>
        <sz val="12"/>
        <color theme="1"/>
        <rFont val="Calibri"/>
        <charset val="134"/>
        <scheme val="minor"/>
      </rPr>
      <t>b</t>
    </r>
    <r>
      <rPr>
        <vertAlign val="subscript"/>
        <sz val="12"/>
        <color theme="1"/>
        <rFont val="Calibri"/>
        <charset val="134"/>
        <scheme val="minor"/>
      </rPr>
      <t>fG</t>
    </r>
  </si>
  <si>
    <r>
      <rPr>
        <sz val="12"/>
        <color theme="1"/>
        <rFont val="Calibri"/>
        <charset val="134"/>
        <scheme val="minor"/>
      </rPr>
      <t>b</t>
    </r>
    <r>
      <rPr>
        <vertAlign val="subscript"/>
        <sz val="12"/>
        <color theme="1"/>
        <rFont val="Calibri"/>
        <charset val="134"/>
        <scheme val="minor"/>
      </rPr>
      <t>cP</t>
    </r>
  </si>
  <si>
    <r>
      <rPr>
        <sz val="12"/>
        <color theme="1"/>
        <rFont val="Calibri"/>
        <charset val="134"/>
        <scheme val="minor"/>
      </rPr>
      <t>b</t>
    </r>
    <r>
      <rPr>
        <vertAlign val="subscript"/>
        <sz val="12"/>
        <color theme="1"/>
        <rFont val="Calibri"/>
        <charset val="134"/>
        <scheme val="minor"/>
      </rPr>
      <t>cG</t>
    </r>
  </si>
  <si>
    <r>
      <rPr>
        <sz val="12"/>
        <color theme="1"/>
        <rFont val="Calibri"/>
        <charset val="134"/>
        <scheme val="minor"/>
      </rPr>
      <t>b</t>
    </r>
    <r>
      <rPr>
        <vertAlign val="subscript"/>
        <sz val="12"/>
        <color theme="1"/>
        <rFont val="Calibri"/>
        <charset val="134"/>
        <scheme val="minor"/>
      </rPr>
      <t>n</t>
    </r>
  </si>
  <si>
    <r>
      <rPr>
        <sz val="12"/>
        <color theme="1"/>
        <rFont val="Symbol"/>
        <charset val="134"/>
      </rPr>
      <t>s</t>
    </r>
    <r>
      <rPr>
        <vertAlign val="subscript"/>
        <sz val="12"/>
        <color theme="1"/>
        <rFont val="Calibri"/>
        <charset val="134"/>
        <scheme val="minor"/>
      </rPr>
      <t>P</t>
    </r>
  </si>
  <si>
    <r>
      <rPr>
        <sz val="12"/>
        <color theme="1"/>
        <rFont val="Symbol"/>
        <charset val="134"/>
      </rPr>
      <t>s</t>
    </r>
    <r>
      <rPr>
        <vertAlign val="subscript"/>
        <sz val="12"/>
        <color theme="1"/>
        <rFont val="Calibri"/>
        <charset val="134"/>
        <scheme val="minor"/>
      </rPr>
      <t>G</t>
    </r>
  </si>
  <si>
    <r>
      <rPr>
        <sz val="12"/>
        <color theme="1"/>
        <rFont val="Symbol"/>
        <charset val="134"/>
      </rPr>
      <t>s</t>
    </r>
    <r>
      <rPr>
        <vertAlign val="subscript"/>
        <sz val="12"/>
        <color theme="1"/>
        <rFont val="Calibri"/>
        <charset val="134"/>
        <scheme val="minor"/>
      </rPr>
      <t>cP</t>
    </r>
  </si>
  <si>
    <r>
      <rPr>
        <sz val="12"/>
        <color theme="1"/>
        <rFont val="Symbol"/>
        <charset val="134"/>
      </rPr>
      <t>s</t>
    </r>
    <r>
      <rPr>
        <vertAlign val="subscript"/>
        <sz val="12"/>
        <color theme="1"/>
        <rFont val="Calibri"/>
        <charset val="134"/>
        <scheme val="minor"/>
      </rPr>
      <t>cG</t>
    </r>
  </si>
  <si>
    <r>
      <rPr>
        <sz val="12"/>
        <color theme="1"/>
        <rFont val="Calibri"/>
        <charset val="134"/>
        <scheme val="minor"/>
      </rPr>
      <t>S</t>
    </r>
    <r>
      <rPr>
        <vertAlign val="subscript"/>
        <sz val="12"/>
        <color theme="1"/>
        <rFont val="Calibri"/>
        <charset val="134"/>
        <scheme val="minor"/>
      </rPr>
      <t>FP</t>
    </r>
  </si>
  <si>
    <r>
      <rPr>
        <sz val="12"/>
        <color theme="1"/>
        <rFont val="Calibri"/>
        <charset val="134"/>
        <scheme val="minor"/>
      </rPr>
      <t>S</t>
    </r>
    <r>
      <rPr>
        <vertAlign val="subscript"/>
        <sz val="12"/>
        <color theme="1"/>
        <rFont val="Calibri"/>
        <charset val="134"/>
        <scheme val="minor"/>
      </rPr>
      <t>FG</t>
    </r>
  </si>
  <si>
    <r>
      <rPr>
        <sz val="12"/>
        <color theme="1"/>
        <rFont val="Calibri"/>
        <charset val="134"/>
        <scheme val="minor"/>
      </rPr>
      <t>(S</t>
    </r>
    <r>
      <rPr>
        <vertAlign val="subscript"/>
        <sz val="12"/>
        <color theme="1"/>
        <rFont val="Calibri"/>
        <charset val="134"/>
        <scheme val="minor"/>
      </rPr>
      <t>HP</t>
    </r>
    <r>
      <rPr>
        <sz val="12"/>
        <color theme="1"/>
        <rFont val="Calibri"/>
        <charset val="134"/>
        <scheme val="minor"/>
      </rPr>
      <t>)</t>
    </r>
    <r>
      <rPr>
        <vertAlign val="superscript"/>
        <sz val="12"/>
        <color theme="1"/>
        <rFont val="Calibri"/>
        <charset val="134"/>
        <scheme val="minor"/>
      </rPr>
      <t>2</t>
    </r>
  </si>
  <si>
    <r>
      <rPr>
        <sz val="12"/>
        <color theme="1"/>
        <rFont val="Calibri"/>
        <charset val="134"/>
        <scheme val="minor"/>
      </rPr>
      <t>(S</t>
    </r>
    <r>
      <rPr>
        <vertAlign val="subscript"/>
        <sz val="12"/>
        <color theme="1"/>
        <rFont val="Calibri"/>
        <charset val="134"/>
        <scheme val="minor"/>
      </rPr>
      <t>HG</t>
    </r>
    <r>
      <rPr>
        <sz val="12"/>
        <color theme="1"/>
        <rFont val="Calibri"/>
        <charset val="134"/>
        <scheme val="minor"/>
      </rPr>
      <t>)</t>
    </r>
    <r>
      <rPr>
        <vertAlign val="superscript"/>
        <sz val="12"/>
        <color theme="1"/>
        <rFont val="Calibri"/>
        <charset val="134"/>
        <scheme val="minor"/>
      </rPr>
      <t>2</t>
    </r>
  </si>
  <si>
    <t>Frequência de rotação:</t>
  </si>
  <si>
    <r>
      <rPr>
        <sz val="12"/>
        <color theme="1"/>
        <rFont val="Calibri"/>
        <charset val="134"/>
        <scheme val="minor"/>
      </rPr>
      <t>n</t>
    </r>
    <r>
      <rPr>
        <vertAlign val="subscript"/>
        <sz val="12"/>
        <color theme="1"/>
        <rFont val="Calibri"/>
        <charset val="134"/>
        <scheme val="minor"/>
      </rPr>
      <t>P</t>
    </r>
    <r>
      <rPr>
        <sz val="12"/>
        <color theme="1"/>
        <rFont val="Calibri"/>
        <charset val="134"/>
        <scheme val="minor"/>
      </rPr>
      <t xml:space="preserve"> =</t>
    </r>
  </si>
  <si>
    <t>Hz</t>
  </si>
  <si>
    <t>Ângulo de pressão:</t>
  </si>
  <si>
    <t>f =</t>
  </si>
  <si>
    <t>graus</t>
  </si>
  <si>
    <t>Número de qualidade:</t>
  </si>
  <si>
    <r>
      <rPr>
        <sz val="12"/>
        <color theme="1"/>
        <rFont val="Calibri"/>
        <charset val="134"/>
        <scheme val="minor"/>
      </rPr>
      <t>Q</t>
    </r>
    <r>
      <rPr>
        <vertAlign val="subscript"/>
        <sz val="12"/>
        <color theme="1"/>
        <rFont val="Calibri"/>
        <charset val="134"/>
        <scheme val="minor"/>
      </rPr>
      <t>V</t>
    </r>
    <r>
      <rPr>
        <sz val="12"/>
        <color theme="1"/>
        <rFont val="Calibri"/>
        <charset val="134"/>
        <scheme val="minor"/>
      </rPr>
      <t xml:space="preserve"> =</t>
    </r>
  </si>
  <si>
    <t>Confiabilidade:</t>
  </si>
  <si>
    <t>R =</t>
  </si>
  <si>
    <t>Razão de engrenamento:</t>
  </si>
  <si>
    <r>
      <rPr>
        <sz val="12"/>
        <color theme="1"/>
        <rFont val="Calibri"/>
        <charset val="134"/>
        <scheme val="minor"/>
      </rPr>
      <t>m</t>
    </r>
    <r>
      <rPr>
        <vertAlign val="subscript"/>
        <sz val="12"/>
        <color theme="1"/>
        <rFont val="Calibri"/>
        <charset val="134"/>
        <scheme val="minor"/>
      </rPr>
      <t>G</t>
    </r>
    <r>
      <rPr>
        <sz val="12"/>
        <color theme="1"/>
        <rFont val="Calibri"/>
        <charset val="134"/>
        <scheme val="minor"/>
      </rPr>
      <t xml:space="preserve"> =</t>
    </r>
  </si>
  <si>
    <t>Vida do pinhão:</t>
  </si>
  <si>
    <t>N =</t>
  </si>
  <si>
    <t>ciclos</t>
  </si>
  <si>
    <t>Material:</t>
  </si>
  <si>
    <t>Nitralloy 135 M grau 1</t>
  </si>
  <si>
    <t>Dureza Brinell do pinhão</t>
  </si>
  <si>
    <r>
      <rPr>
        <sz val="12"/>
        <color theme="1"/>
        <rFont val="Calibri"/>
        <charset val="134"/>
        <scheme val="minor"/>
      </rPr>
      <t>H</t>
    </r>
    <r>
      <rPr>
        <vertAlign val="subscript"/>
        <sz val="12"/>
        <color theme="1"/>
        <rFont val="Calibri"/>
        <charset val="134"/>
        <scheme val="minor"/>
      </rPr>
      <t>BP</t>
    </r>
    <r>
      <rPr>
        <sz val="12"/>
        <color theme="1"/>
        <rFont val="Calibri"/>
        <charset val="134"/>
        <scheme val="minor"/>
      </rPr>
      <t xml:space="preserve"> =</t>
    </r>
  </si>
  <si>
    <t>Brinell</t>
  </si>
  <si>
    <t>Dureza Brinell da coroa</t>
  </si>
  <si>
    <r>
      <rPr>
        <sz val="12"/>
        <color theme="1"/>
        <rFont val="Calibri"/>
        <charset val="134"/>
        <scheme val="minor"/>
      </rPr>
      <t>H</t>
    </r>
    <r>
      <rPr>
        <vertAlign val="subscript"/>
        <sz val="12"/>
        <color theme="1"/>
        <rFont val="Calibri"/>
        <charset val="134"/>
        <scheme val="minor"/>
      </rPr>
      <t>BG</t>
    </r>
    <r>
      <rPr>
        <sz val="12"/>
        <color theme="1"/>
        <rFont val="Calibri"/>
        <charset val="134"/>
        <scheme val="minor"/>
      </rPr>
      <t xml:space="preserve"> =</t>
    </r>
  </si>
  <si>
    <t>Fator de sobrecarga:</t>
  </si>
  <si>
    <r>
      <rPr>
        <sz val="12"/>
        <color theme="1"/>
        <rFont val="Calibri"/>
        <charset val="134"/>
        <scheme val="minor"/>
      </rPr>
      <t>K</t>
    </r>
    <r>
      <rPr>
        <vertAlign val="subscript"/>
        <sz val="12"/>
        <color theme="1"/>
        <rFont val="Calibri"/>
        <charset val="134"/>
        <scheme val="minor"/>
      </rPr>
      <t>O</t>
    </r>
    <r>
      <rPr>
        <sz val="12"/>
        <color theme="1"/>
        <rFont val="Calibri"/>
        <charset val="134"/>
        <scheme val="minor"/>
      </rPr>
      <t xml:space="preserve"> =</t>
    </r>
  </si>
  <si>
    <t>uniforme na entrada e na saída</t>
  </si>
  <si>
    <t>Decisões de projejto</t>
  </si>
  <si>
    <t>Número de dentes do pinhão:</t>
  </si>
  <si>
    <r>
      <rPr>
        <sz val="12"/>
        <color theme="1"/>
        <rFont val="Calibri"/>
        <charset val="134"/>
        <scheme val="minor"/>
      </rPr>
      <t>N</t>
    </r>
    <r>
      <rPr>
        <vertAlign val="subscript"/>
        <sz val="12"/>
        <color theme="1"/>
        <rFont val="Calibri"/>
        <charset val="134"/>
        <scheme val="minor"/>
      </rPr>
      <t>P</t>
    </r>
    <r>
      <rPr>
        <sz val="12"/>
        <color theme="1"/>
        <rFont val="Calibri"/>
        <charset val="134"/>
        <scheme val="minor"/>
      </rPr>
      <t xml:space="preserve"> =</t>
    </r>
  </si>
  <si>
    <t>Número de dentes da coroa:</t>
  </si>
  <si>
    <r>
      <rPr>
        <sz val="12"/>
        <color theme="1"/>
        <rFont val="Calibri"/>
        <charset val="134"/>
        <scheme val="minor"/>
      </rPr>
      <t>N</t>
    </r>
    <r>
      <rPr>
        <vertAlign val="subscript"/>
        <sz val="12"/>
        <color theme="1"/>
        <rFont val="Calibri"/>
        <charset val="134"/>
        <scheme val="minor"/>
      </rPr>
      <t>G</t>
    </r>
    <r>
      <rPr>
        <sz val="12"/>
        <color theme="1"/>
        <rFont val="Calibri"/>
        <charset val="134"/>
        <scheme val="minor"/>
      </rPr>
      <t xml:space="preserve"> =</t>
    </r>
  </si>
  <si>
    <t>Fator de projeto:</t>
  </si>
  <si>
    <r>
      <rPr>
        <sz val="12"/>
        <color theme="1"/>
        <rFont val="Calibri"/>
        <charset val="134"/>
        <scheme val="minor"/>
      </rPr>
      <t>n</t>
    </r>
    <r>
      <rPr>
        <vertAlign val="subscript"/>
        <sz val="12"/>
        <color theme="1"/>
        <rFont val="Calibri"/>
        <charset val="134"/>
        <scheme val="minor"/>
      </rPr>
      <t>d</t>
    </r>
    <r>
      <rPr>
        <sz val="12"/>
        <color theme="1"/>
        <rFont val="Calibri"/>
        <charset val="134"/>
        <scheme val="minor"/>
      </rPr>
      <t xml:space="preserve"> =</t>
    </r>
  </si>
  <si>
    <t>Fator de espessura de aro:</t>
  </si>
  <si>
    <r>
      <rPr>
        <sz val="12"/>
        <color theme="1"/>
        <rFont val="Calibri"/>
        <charset val="134"/>
        <scheme val="minor"/>
      </rPr>
      <t>K</t>
    </r>
    <r>
      <rPr>
        <vertAlign val="subscript"/>
        <sz val="12"/>
        <color theme="1"/>
        <rFont val="Calibri"/>
        <charset val="134"/>
        <scheme val="minor"/>
      </rPr>
      <t>B</t>
    </r>
    <r>
      <rPr>
        <sz val="12"/>
        <color theme="1"/>
        <rFont val="Calibri"/>
        <charset val="134"/>
        <scheme val="minor"/>
      </rPr>
      <t xml:space="preserve"> =</t>
    </r>
  </si>
  <si>
    <t>coroamento:</t>
  </si>
  <si>
    <t>sem coroamento</t>
  </si>
  <si>
    <t>montagem:</t>
  </si>
  <si>
    <t>centradas entre mancais</t>
  </si>
  <si>
    <t>correção do alinhamento:</t>
  </si>
  <si>
    <t>sem correção</t>
  </si>
  <si>
    <t>tipo de dente:</t>
  </si>
  <si>
    <t>reto</t>
  </si>
  <si>
    <t>tipo de construção:</t>
  </si>
  <si>
    <t>engrenagens comerciais fechadas</t>
  </si>
  <si>
    <t>Tentativa para o módulo:</t>
  </si>
  <si>
    <t>mm</t>
  </si>
  <si>
    <t>Como regra geral</t>
  </si>
  <si>
    <r>
      <t>Tentativa de largura de face (b</t>
    </r>
    <r>
      <rPr>
        <b/>
        <vertAlign val="subscript"/>
        <sz val="12"/>
        <color theme="1"/>
        <rFont val="Calibri"/>
        <charset val="134"/>
        <scheme val="minor"/>
      </rPr>
      <t>0</t>
    </r>
    <r>
      <rPr>
        <b/>
        <sz val="12"/>
        <color theme="1"/>
        <rFont val="Calibri"/>
        <charset val="134"/>
        <scheme val="minor"/>
      </rPr>
      <t>)</t>
    </r>
  </si>
  <si>
    <t>&lt; b &lt;</t>
  </si>
  <si>
    <t>Cálculos preliminares</t>
  </si>
  <si>
    <t>Diâmetro primitivo do pinhão:</t>
  </si>
  <si>
    <r>
      <rPr>
        <sz val="12"/>
        <color theme="1"/>
        <rFont val="Calibri"/>
        <charset val="134"/>
        <scheme val="minor"/>
      </rPr>
      <t>d</t>
    </r>
    <r>
      <rPr>
        <vertAlign val="subscript"/>
        <sz val="12"/>
        <color theme="1"/>
        <rFont val="Calibri"/>
        <charset val="134"/>
        <scheme val="minor"/>
      </rPr>
      <t>P</t>
    </r>
    <r>
      <rPr>
        <sz val="12"/>
        <color theme="1"/>
        <rFont val="Calibri"/>
        <charset val="134"/>
        <scheme val="minor"/>
      </rPr>
      <t xml:space="preserve"> =</t>
    </r>
  </si>
  <si>
    <t>m</t>
  </si>
  <si>
    <t>Diâmetro primitivo da coroa:</t>
  </si>
  <si>
    <r>
      <rPr>
        <sz val="12"/>
        <color theme="1"/>
        <rFont val="Calibri"/>
        <charset val="134"/>
        <scheme val="minor"/>
      </rPr>
      <t>d</t>
    </r>
    <r>
      <rPr>
        <vertAlign val="subscript"/>
        <sz val="12"/>
        <color theme="1"/>
        <rFont val="Calibri"/>
        <charset val="134"/>
        <scheme val="minor"/>
      </rPr>
      <t>G</t>
    </r>
    <r>
      <rPr>
        <sz val="12"/>
        <color theme="1"/>
        <rFont val="Calibri"/>
        <charset val="134"/>
        <scheme val="minor"/>
      </rPr>
      <t xml:space="preserve"> =</t>
    </r>
  </si>
  <si>
    <t>Velocidade no ponto primitivo:</t>
  </si>
  <si>
    <t>V =</t>
  </si>
  <si>
    <t>m/s</t>
  </si>
  <si>
    <t>pé/min</t>
  </si>
  <si>
    <t>Força transmitida:</t>
  </si>
  <si>
    <r>
      <rPr>
        <sz val="12"/>
        <color theme="1"/>
        <rFont val="Calibri"/>
        <charset val="134"/>
        <scheme val="minor"/>
      </rPr>
      <t>W</t>
    </r>
    <r>
      <rPr>
        <vertAlign val="subscript"/>
        <sz val="12"/>
        <color theme="1"/>
        <rFont val="Calibri"/>
        <charset val="134"/>
        <scheme val="minor"/>
      </rPr>
      <t>t</t>
    </r>
    <r>
      <rPr>
        <sz val="12"/>
        <color theme="1"/>
        <rFont val="Calibri"/>
        <charset val="134"/>
        <scheme val="minor"/>
      </rPr>
      <t xml:space="preserve"> =</t>
    </r>
  </si>
  <si>
    <t>N</t>
  </si>
  <si>
    <t>Outros cálculos</t>
  </si>
  <si>
    <t>Fator dinâmico</t>
  </si>
  <si>
    <r>
      <rPr>
        <sz val="12"/>
        <color theme="1"/>
        <rFont val="Calibri"/>
        <charset val="134"/>
        <scheme val="minor"/>
      </rPr>
      <t>A</t>
    </r>
    <r>
      <rPr>
        <vertAlign val="subscript"/>
        <sz val="12"/>
        <color theme="1"/>
        <rFont val="Calibri"/>
        <charset val="134"/>
        <scheme val="minor"/>
      </rPr>
      <t>V</t>
    </r>
    <r>
      <rPr>
        <sz val="12"/>
        <color theme="1"/>
        <rFont val="Calibri"/>
        <charset val="134"/>
        <scheme val="minor"/>
      </rPr>
      <t xml:space="preserve"> =</t>
    </r>
  </si>
  <si>
    <r>
      <rPr>
        <sz val="12"/>
        <color theme="1"/>
        <rFont val="Calibri"/>
        <charset val="134"/>
        <scheme val="minor"/>
      </rPr>
      <t>B</t>
    </r>
    <r>
      <rPr>
        <vertAlign val="subscript"/>
        <sz val="12"/>
        <color theme="1"/>
        <rFont val="Calibri"/>
        <charset val="134"/>
        <scheme val="minor"/>
      </rPr>
      <t>V</t>
    </r>
    <r>
      <rPr>
        <sz val="12"/>
        <color theme="1"/>
        <rFont val="Calibri"/>
        <charset val="134"/>
        <scheme val="minor"/>
      </rPr>
      <t xml:space="preserve"> =</t>
    </r>
  </si>
  <si>
    <r>
      <rPr>
        <sz val="12"/>
        <color theme="1"/>
        <rFont val="Calibri"/>
        <charset val="134"/>
        <scheme val="minor"/>
      </rPr>
      <t>K</t>
    </r>
    <r>
      <rPr>
        <vertAlign val="subscript"/>
        <sz val="12"/>
        <color theme="1"/>
        <rFont val="Calibri"/>
        <charset val="134"/>
        <scheme val="minor"/>
      </rPr>
      <t>V</t>
    </r>
    <r>
      <rPr>
        <sz val="12"/>
        <color theme="1"/>
        <rFont val="Calibri"/>
        <charset val="134"/>
        <scheme val="minor"/>
      </rPr>
      <t xml:space="preserve"> =</t>
    </r>
  </si>
  <si>
    <t>Fator de confiabilidade</t>
  </si>
  <si>
    <r>
      <rPr>
        <sz val="12"/>
        <color theme="1"/>
        <rFont val="Calibri"/>
        <charset val="134"/>
        <scheme val="minor"/>
      </rPr>
      <t>Y</t>
    </r>
    <r>
      <rPr>
        <vertAlign val="subscript"/>
        <sz val="12"/>
        <color theme="1"/>
        <rFont val="Calibri"/>
        <charset val="134"/>
        <scheme val="minor"/>
      </rPr>
      <t>Z</t>
    </r>
    <r>
      <rPr>
        <sz val="12"/>
        <color theme="1"/>
        <rFont val="Calibri"/>
        <charset val="134"/>
        <scheme val="minor"/>
      </rPr>
      <t xml:space="preserve"> =</t>
    </r>
  </si>
  <si>
    <t>Fator de ciclagem à flexão</t>
  </si>
  <si>
    <r>
      <rPr>
        <sz val="12"/>
        <color theme="1"/>
        <rFont val="Calibri"/>
        <charset val="134"/>
        <scheme val="minor"/>
      </rPr>
      <t>Y</t>
    </r>
    <r>
      <rPr>
        <vertAlign val="subscript"/>
        <sz val="12"/>
        <color theme="1"/>
        <rFont val="Calibri"/>
        <charset val="134"/>
        <scheme val="minor"/>
      </rPr>
      <t>NP</t>
    </r>
    <r>
      <rPr>
        <sz val="12"/>
        <color theme="1"/>
        <rFont val="Calibri"/>
        <charset val="134"/>
        <scheme val="minor"/>
      </rPr>
      <t xml:space="preserve"> =</t>
    </r>
  </si>
  <si>
    <r>
      <rPr>
        <sz val="12"/>
        <color theme="1"/>
        <rFont val="Calibri"/>
        <charset val="134"/>
        <scheme val="minor"/>
      </rPr>
      <t>Y</t>
    </r>
    <r>
      <rPr>
        <vertAlign val="subscript"/>
        <sz val="12"/>
        <color theme="1"/>
        <rFont val="Calibri"/>
        <charset val="134"/>
        <scheme val="minor"/>
      </rPr>
      <t>NG</t>
    </r>
    <r>
      <rPr>
        <sz val="12"/>
        <color theme="1"/>
        <rFont val="Calibri"/>
        <charset val="134"/>
        <scheme val="minor"/>
      </rPr>
      <t xml:space="preserve"> =</t>
    </r>
  </si>
  <si>
    <t>Fator de ciclagem ao desgaste</t>
  </si>
  <si>
    <r>
      <rPr>
        <sz val="12"/>
        <color theme="1"/>
        <rFont val="Calibri"/>
        <charset val="134"/>
        <scheme val="minor"/>
      </rPr>
      <t>Z</t>
    </r>
    <r>
      <rPr>
        <vertAlign val="subscript"/>
        <sz val="12"/>
        <color theme="1"/>
        <rFont val="Calibri"/>
        <charset val="134"/>
        <scheme val="minor"/>
      </rPr>
      <t>NP</t>
    </r>
    <r>
      <rPr>
        <sz val="12"/>
        <color theme="1"/>
        <rFont val="Calibri"/>
        <charset val="134"/>
        <scheme val="minor"/>
      </rPr>
      <t xml:space="preserve"> =</t>
    </r>
  </si>
  <si>
    <r>
      <rPr>
        <sz val="12"/>
        <color theme="1"/>
        <rFont val="Calibri"/>
        <charset val="134"/>
        <scheme val="minor"/>
      </rPr>
      <t>Z</t>
    </r>
    <r>
      <rPr>
        <vertAlign val="subscript"/>
        <sz val="12"/>
        <color theme="1"/>
        <rFont val="Calibri"/>
        <charset val="134"/>
        <scheme val="minor"/>
      </rPr>
      <t>NG</t>
    </r>
    <r>
      <rPr>
        <sz val="12"/>
        <color theme="1"/>
        <rFont val="Calibri"/>
        <charset val="134"/>
        <scheme val="minor"/>
      </rPr>
      <t xml:space="preserve"> =</t>
    </r>
  </si>
  <si>
    <t>Coeficientes para o fator de distribuição de carga</t>
  </si>
  <si>
    <r>
      <rPr>
        <sz val="12"/>
        <color theme="1"/>
        <rFont val="Calibri"/>
        <charset val="134"/>
        <scheme val="minor"/>
      </rPr>
      <t>C</t>
    </r>
    <r>
      <rPr>
        <vertAlign val="subscript"/>
        <sz val="12"/>
        <color theme="1"/>
        <rFont val="Calibri"/>
        <charset val="134"/>
        <scheme val="minor"/>
      </rPr>
      <t>mc</t>
    </r>
    <r>
      <rPr>
        <sz val="12"/>
        <color theme="1"/>
        <rFont val="Calibri"/>
        <charset val="134"/>
        <scheme val="minor"/>
      </rPr>
      <t xml:space="preserve"> =</t>
    </r>
  </si>
  <si>
    <r>
      <rPr>
        <sz val="12"/>
        <color theme="1"/>
        <rFont val="Calibri"/>
        <charset val="134"/>
        <scheme val="minor"/>
      </rPr>
      <t>S</t>
    </r>
    <r>
      <rPr>
        <vertAlign val="subscript"/>
        <sz val="12"/>
        <color theme="1"/>
        <rFont val="Calibri"/>
        <charset val="134"/>
        <scheme val="minor"/>
      </rPr>
      <t>1</t>
    </r>
    <r>
      <rPr>
        <sz val="12"/>
        <color theme="1"/>
        <rFont val="Calibri"/>
        <charset val="134"/>
        <scheme val="minor"/>
      </rPr>
      <t xml:space="preserve"> =</t>
    </r>
  </si>
  <si>
    <t>S =</t>
  </si>
  <si>
    <r>
      <rPr>
        <sz val="12"/>
        <color theme="1"/>
        <rFont val="Calibri"/>
        <charset val="134"/>
        <scheme val="minor"/>
      </rPr>
      <t>C</t>
    </r>
    <r>
      <rPr>
        <vertAlign val="subscript"/>
        <sz val="12"/>
        <color theme="1"/>
        <rFont val="Calibri"/>
        <charset val="134"/>
        <scheme val="minor"/>
      </rPr>
      <t>pm</t>
    </r>
    <r>
      <rPr>
        <sz val="12"/>
        <color theme="1"/>
        <rFont val="Calibri"/>
        <charset val="134"/>
        <scheme val="minor"/>
      </rPr>
      <t xml:space="preserve"> =</t>
    </r>
  </si>
  <si>
    <r>
      <rPr>
        <sz val="12"/>
        <color theme="1"/>
        <rFont val="Calibri"/>
        <charset val="134"/>
        <scheme val="minor"/>
      </rPr>
      <t>A</t>
    </r>
    <r>
      <rPr>
        <vertAlign val="subscript"/>
        <sz val="12"/>
        <color theme="1"/>
        <rFont val="Calibri"/>
        <charset val="134"/>
        <scheme val="minor"/>
      </rPr>
      <t>Cma</t>
    </r>
    <r>
      <rPr>
        <sz val="12"/>
        <color theme="1"/>
        <rFont val="Calibri"/>
        <charset val="134"/>
        <scheme val="minor"/>
      </rPr>
      <t xml:space="preserve"> =</t>
    </r>
  </si>
  <si>
    <r>
      <rPr>
        <sz val="12"/>
        <color theme="1"/>
        <rFont val="Calibri"/>
        <charset val="134"/>
        <scheme val="minor"/>
      </rPr>
      <t>B</t>
    </r>
    <r>
      <rPr>
        <vertAlign val="subscript"/>
        <sz val="12"/>
        <color theme="1"/>
        <rFont val="Calibri"/>
        <charset val="134"/>
        <scheme val="minor"/>
      </rPr>
      <t>Cma</t>
    </r>
    <r>
      <rPr>
        <sz val="12"/>
        <color theme="1"/>
        <rFont val="Calibri"/>
        <charset val="134"/>
        <scheme val="minor"/>
      </rPr>
      <t xml:space="preserve"> =</t>
    </r>
  </si>
  <si>
    <r>
      <rPr>
        <sz val="12"/>
        <color theme="1"/>
        <rFont val="Calibri"/>
        <charset val="134"/>
        <scheme val="minor"/>
      </rPr>
      <t>C</t>
    </r>
    <r>
      <rPr>
        <vertAlign val="subscript"/>
        <sz val="12"/>
        <color theme="1"/>
        <rFont val="Calibri"/>
        <charset val="134"/>
        <scheme val="minor"/>
      </rPr>
      <t>Cma</t>
    </r>
    <r>
      <rPr>
        <sz val="12"/>
        <color theme="1"/>
        <rFont val="Calibri"/>
        <charset val="134"/>
        <scheme val="minor"/>
      </rPr>
      <t xml:space="preserve"> =</t>
    </r>
  </si>
  <si>
    <r>
      <rPr>
        <sz val="12"/>
        <color theme="1"/>
        <rFont val="Calibri"/>
        <charset val="134"/>
        <scheme val="minor"/>
      </rPr>
      <t>C</t>
    </r>
    <r>
      <rPr>
        <vertAlign val="subscript"/>
        <sz val="12"/>
        <color theme="1"/>
        <rFont val="Calibri"/>
        <charset val="134"/>
        <scheme val="minor"/>
      </rPr>
      <t>e</t>
    </r>
    <r>
      <rPr>
        <sz val="12"/>
        <color theme="1"/>
        <rFont val="Calibri"/>
        <charset val="134"/>
        <scheme val="minor"/>
      </rPr>
      <t xml:space="preserve"> =</t>
    </r>
  </si>
  <si>
    <t>Coeficiente elástico</t>
  </si>
  <si>
    <r>
      <rPr>
        <sz val="12"/>
        <color theme="1"/>
        <rFont val="Calibri"/>
        <charset val="134"/>
        <scheme val="minor"/>
      </rPr>
      <t>Z</t>
    </r>
    <r>
      <rPr>
        <vertAlign val="subscript"/>
        <sz val="12"/>
        <color theme="1"/>
        <rFont val="Calibri"/>
        <charset val="134"/>
        <scheme val="minor"/>
      </rPr>
      <t>E</t>
    </r>
    <r>
      <rPr>
        <sz val="12"/>
        <color theme="1"/>
        <rFont val="Calibri"/>
        <charset val="134"/>
        <scheme val="minor"/>
      </rPr>
      <t xml:space="preserve"> =</t>
    </r>
  </si>
  <si>
    <t>Fator geométrico desgaste</t>
  </si>
  <si>
    <r>
      <rPr>
        <sz val="12"/>
        <color theme="1"/>
        <rFont val="Calibri"/>
        <charset val="134"/>
        <scheme val="minor"/>
      </rPr>
      <t>m</t>
    </r>
    <r>
      <rPr>
        <vertAlign val="subscript"/>
        <sz val="12"/>
        <color theme="1"/>
        <rFont val="Calibri"/>
        <charset val="134"/>
        <scheme val="minor"/>
      </rPr>
      <t>N</t>
    </r>
    <r>
      <rPr>
        <sz val="12"/>
        <color theme="1"/>
        <rFont val="Calibri"/>
        <charset val="134"/>
        <scheme val="minor"/>
      </rPr>
      <t xml:space="preserve"> =</t>
    </r>
  </si>
  <si>
    <r>
      <rPr>
        <sz val="12"/>
        <color theme="1"/>
        <rFont val="Calibri"/>
        <charset val="134"/>
        <scheme val="minor"/>
      </rPr>
      <t>Z</t>
    </r>
    <r>
      <rPr>
        <vertAlign val="subscript"/>
        <sz val="12"/>
        <color theme="1"/>
        <rFont val="Calibri"/>
        <charset val="134"/>
        <scheme val="minor"/>
      </rPr>
      <t>I</t>
    </r>
    <r>
      <rPr>
        <sz val="12"/>
        <color theme="1"/>
        <rFont val="Calibri"/>
        <charset val="134"/>
        <scheme val="minor"/>
      </rPr>
      <t xml:space="preserve"> =</t>
    </r>
  </si>
  <si>
    <t>Fator de temperatura</t>
  </si>
  <si>
    <r>
      <rPr>
        <sz val="12"/>
        <color theme="1"/>
        <rFont val="Calibri"/>
        <charset val="134"/>
        <scheme val="minor"/>
      </rPr>
      <t>Y</t>
    </r>
    <r>
      <rPr>
        <vertAlign val="subscript"/>
        <sz val="12"/>
        <color theme="1"/>
        <rFont val="Symbol"/>
        <charset val="134"/>
      </rPr>
      <t>q</t>
    </r>
    <r>
      <rPr>
        <sz val="12"/>
        <color theme="1"/>
        <rFont val="Calibri"/>
        <charset val="134"/>
        <scheme val="minor"/>
      </rPr>
      <t xml:space="preserve"> =</t>
    </r>
  </si>
  <si>
    <t>Fator de cond. de superfície</t>
  </si>
  <si>
    <r>
      <rPr>
        <sz val="12"/>
        <color theme="1"/>
        <rFont val="Calibri"/>
        <charset val="134"/>
        <scheme val="minor"/>
      </rPr>
      <t>Z</t>
    </r>
    <r>
      <rPr>
        <vertAlign val="subscript"/>
        <sz val="12"/>
        <color theme="1"/>
        <rFont val="Calibri"/>
        <charset val="134"/>
        <scheme val="minor"/>
      </rPr>
      <t>R</t>
    </r>
    <r>
      <rPr>
        <sz val="12"/>
        <color theme="1"/>
        <rFont val="Calibri"/>
        <charset val="134"/>
        <scheme val="minor"/>
      </rPr>
      <t xml:space="preserve"> =</t>
    </r>
  </si>
  <si>
    <t>Fator de razão de dureza</t>
  </si>
  <si>
    <r>
      <rPr>
        <sz val="12"/>
        <color theme="1"/>
        <rFont val="Calibri"/>
        <charset val="134"/>
        <scheme val="minor"/>
      </rPr>
      <t>Z</t>
    </r>
    <r>
      <rPr>
        <vertAlign val="subscript"/>
        <sz val="12"/>
        <color theme="1"/>
        <rFont val="Calibri"/>
        <charset val="134"/>
        <scheme val="minor"/>
      </rPr>
      <t>W</t>
    </r>
    <r>
      <rPr>
        <sz val="12"/>
        <color theme="1"/>
        <rFont val="Calibri"/>
        <charset val="134"/>
        <scheme val="minor"/>
      </rPr>
      <t xml:space="preserve"> =</t>
    </r>
  </si>
</sst>
</file>

<file path=xl/styles.xml><?xml version="1.0" encoding="utf-8"?>
<styleSheet xmlns="http://schemas.openxmlformats.org/spreadsheetml/2006/main">
  <numFmts count="7">
    <numFmt numFmtId="176" formatCode="0.0000000_ "/>
    <numFmt numFmtId="177" formatCode="0.00_ "/>
    <numFmt numFmtId="178" formatCode="0.000000000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9" formatCode="_ * #,##0.00_ ;_ * \-#,##0.00_ ;_ * &quot;-&quot;??_ ;_ @_ "/>
    <numFmt numFmtId="180" formatCode="_ * #,##0_ ;_ * \-#,##0_ ;_ * &quot;-&quot;_ ;_ @_ "/>
  </numFmts>
  <fonts count="27">
    <font>
      <sz val="10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theme="1"/>
      <name val="Symbol"/>
      <charset val="134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vertAlign val="subscript"/>
      <sz val="12"/>
      <color theme="1"/>
      <name val="Calibri"/>
      <charset val="134"/>
      <scheme val="minor"/>
    </font>
    <font>
      <vertAlign val="subscript"/>
      <sz val="12"/>
      <color theme="1"/>
      <name val="Symbol"/>
      <charset val="134"/>
    </font>
    <font>
      <vertAlign val="superscript"/>
      <sz val="12"/>
      <color theme="1"/>
      <name val="Calibri"/>
      <charset val="134"/>
      <scheme val="minor"/>
    </font>
    <font>
      <b/>
      <vertAlign val="subscript"/>
      <sz val="12"/>
      <color theme="1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25" borderId="9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177" fontId="1" fillId="0" borderId="0" xfId="0" applyNumberFormat="1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11" fontId="1" fillId="0" borderId="0" xfId="0" applyNumberFormat="1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9">
    <cellStyle name="Normal" xfId="0" builtinId="0"/>
    <cellStyle name="60% - Ênfase 6" xfId="1" builtinId="52"/>
    <cellStyle name="40% - Ênfase 6" xfId="2" builtinId="51"/>
    <cellStyle name="20% - Ênfase 6" xfId="3" builtinId="50"/>
    <cellStyle name="40% - Ênfase 5" xfId="4" builtinId="47"/>
    <cellStyle name="Ênfase 5" xfId="5" builtinId="45"/>
    <cellStyle name="Ênfase 4" xfId="6" builtinId="41"/>
    <cellStyle name="Título 4" xfId="7" builtinId="19"/>
    <cellStyle name="60% - Ênfase 3" xfId="8" builtinId="40"/>
    <cellStyle name="20% - Ênfase 3" xfId="9" builtinId="38"/>
    <cellStyle name="Ênfase 3" xfId="10" builtinId="37"/>
    <cellStyle name="Título 3" xfId="11" builtinId="18"/>
    <cellStyle name="60% - Ênfase 2" xfId="12" builtinId="36"/>
    <cellStyle name="Célula de Verificação" xfId="13" builtinId="23"/>
    <cellStyle name="40% - Ênfase 2" xfId="14" builtinId="35"/>
    <cellStyle name="60% - Ênfase 5" xfId="15" builtinId="48"/>
    <cellStyle name="Ênfase 2" xfId="16" builtinId="33"/>
    <cellStyle name="Ênfase 6" xfId="17" builtinId="49"/>
    <cellStyle name="40% - Ênfase 1" xfId="18" builtinId="31"/>
    <cellStyle name="20% - Ênfase 1" xfId="19" builtinId="30"/>
    <cellStyle name="60% - Ênfase 4" xfId="20" builtinId="44"/>
    <cellStyle name="Ênfase 1" xfId="21" builtinId="29"/>
    <cellStyle name="40% - Ênfase 4" xfId="22" builtinId="43"/>
    <cellStyle name="Ruim" xfId="23" builtinId="27"/>
    <cellStyle name="20% - Ênfase 4" xfId="24" builtinId="42"/>
    <cellStyle name="Saída" xfId="25" builtinId="21"/>
    <cellStyle name="Hyperlink seguido" xfId="26" builtinId="9"/>
    <cellStyle name="Moeda [0]" xfId="27" builtinId="7"/>
    <cellStyle name="Total" xfId="28" builtinId="25"/>
    <cellStyle name="Bom" xfId="29" builtinId="26"/>
    <cellStyle name="40% - Ênfase 3" xfId="30" builtinId="39"/>
    <cellStyle name="Texto de Aviso" xfId="31" builtinId="11"/>
    <cellStyle name="Cálculo" xfId="32" builtinId="22"/>
    <cellStyle name="Entrada" xfId="33" builtinId="20"/>
    <cellStyle name="Texto Explicativo" xfId="34" builtinId="53"/>
    <cellStyle name="Título 1" xfId="35" builtinId="16"/>
    <cellStyle name="Título" xfId="36" builtinId="15"/>
    <cellStyle name="Observação" xfId="37" builtinId="10"/>
    <cellStyle name="20% - Ênfase 2" xfId="38" builtinId="34"/>
    <cellStyle name="60% - Ênfase 1" xfId="39" builtinId="32"/>
    <cellStyle name="Título 2" xfId="40" builtinId="17"/>
    <cellStyle name="Hyperlink" xfId="41" builtinId="8"/>
    <cellStyle name="Célula Vinculada" xfId="42" builtinId="24"/>
    <cellStyle name="Comma" xfId="43" builtinId="3"/>
    <cellStyle name="Porcentagem" xfId="44" builtinId="5"/>
    <cellStyle name="Neutro" xfId="45" builtinId="28"/>
    <cellStyle name="20% - Ênfase 5" xfId="46" builtinId="46"/>
    <cellStyle name="Moeda" xfId="47" builtinId="4"/>
    <cellStyle name="Comma [0]" xfId="48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2677160</xdr:colOff>
      <xdr:row>42</xdr:row>
      <xdr:rowOff>19050</xdr:rowOff>
    </xdr:from>
    <xdr:to>
      <xdr:col>1</xdr:col>
      <xdr:colOff>2752725</xdr:colOff>
      <xdr:row>49</xdr:row>
      <xdr:rowOff>238125</xdr:rowOff>
    </xdr:to>
    <xdr:sp>
      <xdr:nvSpPr>
        <xdr:cNvPr id="2" name="Chave esquerda 1"/>
        <xdr:cNvSpPr/>
      </xdr:nvSpPr>
      <xdr:spPr>
        <a:xfrm>
          <a:off x="3362960" y="9582150"/>
          <a:ext cx="75565" cy="1905000"/>
        </a:xfrm>
        <a:prstGeom prst="leftBrac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/>
        <a:p>
          <a:pPr algn="l"/>
          <a:endParaRPr lang="pt-BR" altLang="en-US" sz="1100"/>
        </a:p>
      </xdr:txBody>
    </xdr:sp>
    <xdr:clientData/>
  </xdr:twoCellAnchor>
  <xdr:twoCellAnchor>
    <xdr:from>
      <xdr:col>1</xdr:col>
      <xdr:colOff>2647950</xdr:colOff>
      <xdr:row>40</xdr:row>
      <xdr:rowOff>38100</xdr:rowOff>
    </xdr:from>
    <xdr:to>
      <xdr:col>1</xdr:col>
      <xdr:colOff>2723515</xdr:colOff>
      <xdr:row>41</xdr:row>
      <xdr:rowOff>238125</xdr:rowOff>
    </xdr:to>
    <xdr:sp>
      <xdr:nvSpPr>
        <xdr:cNvPr id="3" name="Chave esquerda 2"/>
        <xdr:cNvSpPr/>
      </xdr:nvSpPr>
      <xdr:spPr>
        <a:xfrm>
          <a:off x="3333750" y="9105900"/>
          <a:ext cx="75565" cy="447675"/>
        </a:xfrm>
        <a:prstGeom prst="leftBrace">
          <a:avLst>
            <a:gd name="adj1" fmla="val 8333"/>
            <a:gd name="adj2" fmla="val 43687"/>
          </a:avLst>
        </a:prstGeom>
        <a:noFill/>
        <a:ln>
          <a:solidFill>
            <a:schemeClr val="bg1"/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232629"/>
              </a:solidFill>
            </a14:hiddenFill>
          </a:ext>
        </a:ex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/>
        <a:p>
          <a:pPr algn="l"/>
          <a:endParaRPr lang="pt-BR" alt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2</xdr:row>
      <xdr:rowOff>47625</xdr:rowOff>
    </xdr:to>
    <xdr:sp>
      <xdr:nvSpPr>
        <xdr:cNvPr id="4" name="Chave esquerda 3"/>
        <xdr:cNvSpPr/>
      </xdr:nvSpPr>
      <xdr:spPr>
        <a:xfrm>
          <a:off x="0" y="0"/>
          <a:ext cx="75565" cy="447675"/>
        </a:xfrm>
        <a:prstGeom prst="leftBrace">
          <a:avLst>
            <a:gd name="adj1" fmla="val 8333"/>
            <a:gd name="adj2" fmla="val 43687"/>
          </a:avLst>
        </a:prstGeom>
        <a:noFill/>
        <a:ln>
          <a:solidFill>
            <a:schemeClr val="bg1"/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232629"/>
              </a:solidFill>
            </a14:hiddenFill>
          </a:ext>
        </a:ex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/>
        <a:lstStyle>
          <a:defPPr>
            <a:defRPr lang="pt-BR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pt-BR" alt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2</xdr:row>
      <xdr:rowOff>47625</xdr:rowOff>
    </xdr:to>
    <xdr:sp>
      <xdr:nvSpPr>
        <xdr:cNvPr id="5" name="Chave esquerda 4"/>
        <xdr:cNvSpPr/>
      </xdr:nvSpPr>
      <xdr:spPr>
        <a:xfrm>
          <a:off x="0" y="0"/>
          <a:ext cx="75565" cy="447675"/>
        </a:xfrm>
        <a:prstGeom prst="leftBrace">
          <a:avLst>
            <a:gd name="adj1" fmla="val 8333"/>
            <a:gd name="adj2" fmla="val 43687"/>
          </a:avLst>
        </a:prstGeom>
        <a:noFill/>
        <a:ln>
          <a:solidFill>
            <a:schemeClr val="bg1"/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232629"/>
              </a:solidFill>
            </a14:hiddenFill>
          </a:ext>
        </a:ex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/>
        <a:lstStyle>
          <a:defPPr>
            <a:defRPr lang="pt-BR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pt-BR" altLang="en-US" sz="1100"/>
        </a:p>
      </xdr:txBody>
    </xdr:sp>
    <xdr:clientData/>
  </xdr:twoCellAnchor>
  <xdr:twoCellAnchor>
    <xdr:from>
      <xdr:col>1</xdr:col>
      <xdr:colOff>2657475</xdr:colOff>
      <xdr:row>38</xdr:row>
      <xdr:rowOff>38100</xdr:rowOff>
    </xdr:from>
    <xdr:to>
      <xdr:col>1</xdr:col>
      <xdr:colOff>2733040</xdr:colOff>
      <xdr:row>39</xdr:row>
      <xdr:rowOff>238125</xdr:rowOff>
    </xdr:to>
    <xdr:sp>
      <xdr:nvSpPr>
        <xdr:cNvPr id="6" name="Chave esquerda 5"/>
        <xdr:cNvSpPr/>
      </xdr:nvSpPr>
      <xdr:spPr>
        <a:xfrm>
          <a:off x="3343275" y="8610600"/>
          <a:ext cx="75565" cy="447675"/>
        </a:xfrm>
        <a:prstGeom prst="leftBrace">
          <a:avLst>
            <a:gd name="adj1" fmla="val 8333"/>
            <a:gd name="adj2" fmla="val 43687"/>
          </a:avLst>
        </a:prstGeom>
        <a:noFill/>
        <a:ln>
          <a:solidFill>
            <a:schemeClr val="bg1"/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232629"/>
              </a:solidFill>
            </a14:hiddenFill>
          </a:ext>
        </a:ex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/>
        <a:lstStyle>
          <a:defPPr>
            <a:defRPr lang="pt-BR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pt-BR" altLang="en-US" sz="1100"/>
        </a:p>
      </xdr:txBody>
    </xdr:sp>
    <xdr:clientData/>
  </xdr:twoCellAnchor>
  <xdr:twoCellAnchor>
    <xdr:from>
      <xdr:col>1</xdr:col>
      <xdr:colOff>2695575</xdr:colOff>
      <xdr:row>51</xdr:row>
      <xdr:rowOff>28575</xdr:rowOff>
    </xdr:from>
    <xdr:to>
      <xdr:col>1</xdr:col>
      <xdr:colOff>2771140</xdr:colOff>
      <xdr:row>52</xdr:row>
      <xdr:rowOff>228600</xdr:rowOff>
    </xdr:to>
    <xdr:sp>
      <xdr:nvSpPr>
        <xdr:cNvPr id="7" name="Chave esquerda 6"/>
        <xdr:cNvSpPr/>
      </xdr:nvSpPr>
      <xdr:spPr>
        <a:xfrm>
          <a:off x="3381375" y="11772900"/>
          <a:ext cx="75565" cy="447675"/>
        </a:xfrm>
        <a:prstGeom prst="leftBrace">
          <a:avLst>
            <a:gd name="adj1" fmla="val 8333"/>
            <a:gd name="adj2" fmla="val 43687"/>
          </a:avLst>
        </a:prstGeom>
        <a:noFill/>
        <a:ln>
          <a:solidFill>
            <a:schemeClr val="bg1"/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232629"/>
              </a:solidFill>
            </a14:hiddenFill>
          </a:ext>
        </a:ex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/>
        <a:lstStyle>
          <a:defPPr>
            <a:defRPr lang="pt-BR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pt-B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232629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56"/>
  <sheetViews>
    <sheetView tabSelected="1" topLeftCell="AE1" workbookViewId="0">
      <selection activeCell="AK35" sqref="AK35"/>
    </sheetView>
  </sheetViews>
  <sheetFormatPr defaultColWidth="9" defaultRowHeight="15.75"/>
  <cols>
    <col min="1" max="1" width="9" style="1"/>
    <col min="2" max="2" width="37.375" style="1" customWidth="1"/>
    <col min="3" max="3" width="6.25" style="1" customWidth="1"/>
    <col min="4" max="4" width="17.375" style="1"/>
    <col min="5" max="7" width="15.875" style="1"/>
    <col min="8" max="8" width="9" style="1"/>
    <col min="9" max="9" width="4.125" style="1" customWidth="1"/>
    <col min="10" max="10" width="14.625" style="1" customWidth="1"/>
    <col min="11" max="13" width="13.25" style="1" customWidth="1"/>
    <col min="14" max="15" width="13.25" style="1" hidden="1" customWidth="1"/>
    <col min="16" max="19" width="13.25" style="1" customWidth="1"/>
    <col min="20" max="21" width="16" style="1" customWidth="1"/>
    <col min="22" max="25" width="13.25" style="1" customWidth="1"/>
    <col min="26" max="26" width="16" style="1" customWidth="1"/>
    <col min="27" max="28" width="13.25" style="1" customWidth="1"/>
    <col min="29" max="29" width="17.375" style="1" customWidth="1"/>
    <col min="30" max="32" width="13.25" style="1" customWidth="1"/>
    <col min="33" max="37" width="14.625" style="1" customWidth="1"/>
    <col min="38" max="41" width="16" style="1" customWidth="1"/>
    <col min="42" max="45" width="13.25" style="1" customWidth="1"/>
    <col min="46" max="16384" width="9" style="1"/>
  </cols>
  <sheetData>
    <row r="1" spans="33:45">
      <c r="AG1" s="16" t="s">
        <v>0</v>
      </c>
      <c r="AH1" s="16"/>
      <c r="AI1" s="16"/>
      <c r="AJ1" s="16"/>
      <c r="AK1" s="16"/>
      <c r="AL1" s="16" t="s">
        <v>1</v>
      </c>
      <c r="AM1" s="16"/>
      <c r="AN1" s="16"/>
      <c r="AO1" s="16"/>
      <c r="AP1" s="16" t="s">
        <v>2</v>
      </c>
      <c r="AQ1" s="16"/>
      <c r="AR1" s="16"/>
      <c r="AS1" s="16"/>
    </row>
    <row r="2" spans="33:45">
      <c r="AG2" s="16" t="s">
        <v>3</v>
      </c>
      <c r="AH2" s="16"/>
      <c r="AI2" s="16" t="s">
        <v>4</v>
      </c>
      <c r="AJ2" s="16"/>
      <c r="AK2" s="16" t="s">
        <v>5</v>
      </c>
      <c r="AL2" s="16" t="s">
        <v>3</v>
      </c>
      <c r="AM2" s="16"/>
      <c r="AN2" s="16" t="s">
        <v>4</v>
      </c>
      <c r="AO2" s="16"/>
      <c r="AP2" s="16" t="s">
        <v>3</v>
      </c>
      <c r="AQ2" s="16"/>
      <c r="AR2" s="16" t="s">
        <v>4</v>
      </c>
      <c r="AS2" s="16"/>
    </row>
    <row r="3" ht="20.25" spans="1:45">
      <c r="A3" s="2" t="s">
        <v>6</v>
      </c>
      <c r="B3" s="1" t="s">
        <v>7</v>
      </c>
      <c r="C3" s="1" t="s">
        <v>8</v>
      </c>
      <c r="D3" s="1">
        <v>74570</v>
      </c>
      <c r="E3" s="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1" t="s">
        <v>26</v>
      </c>
      <c r="Z3" s="11" t="s">
        <v>27</v>
      </c>
      <c r="AA3" s="11" t="s">
        <v>28</v>
      </c>
      <c r="AB3" s="11" t="s">
        <v>29</v>
      </c>
      <c r="AC3" s="11" t="s">
        <v>30</v>
      </c>
      <c r="AD3" s="11" t="s">
        <v>31</v>
      </c>
      <c r="AE3" s="11" t="s">
        <v>32</v>
      </c>
      <c r="AF3" s="11" t="s">
        <v>33</v>
      </c>
      <c r="AG3" s="11" t="s">
        <v>34</v>
      </c>
      <c r="AH3" s="11" t="s">
        <v>35</v>
      </c>
      <c r="AI3" s="11" t="s">
        <v>36</v>
      </c>
      <c r="AJ3" s="11" t="s">
        <v>37</v>
      </c>
      <c r="AK3" s="11" t="s">
        <v>38</v>
      </c>
      <c r="AL3" s="17" t="s">
        <v>39</v>
      </c>
      <c r="AM3" s="17" t="s">
        <v>40</v>
      </c>
      <c r="AN3" s="17" t="s">
        <v>41</v>
      </c>
      <c r="AO3" s="17" t="s">
        <v>42</v>
      </c>
      <c r="AP3" s="11" t="s">
        <v>43</v>
      </c>
      <c r="AQ3" s="11" t="s">
        <v>44</v>
      </c>
      <c r="AR3" s="11" t="s">
        <v>45</v>
      </c>
      <c r="AS3" s="11" t="s">
        <v>46</v>
      </c>
    </row>
    <row r="4" ht="19.5" spans="1:45">
      <c r="A4" s="2"/>
      <c r="B4" s="1" t="s">
        <v>47</v>
      </c>
      <c r="C4" s="1" t="s">
        <v>48</v>
      </c>
      <c r="D4" s="3">
        <f>1120/60</f>
        <v>18.6666666666667</v>
      </c>
      <c r="E4" s="1" t="s">
        <v>49</v>
      </c>
      <c r="I4" s="1">
        <v>1</v>
      </c>
      <c r="J4" s="13">
        <f>$C$26</f>
        <v>79.7964534011807</v>
      </c>
      <c r="K4" s="13">
        <f t="shared" ref="K4:K16" si="0">$D$13</f>
        <v>1</v>
      </c>
      <c r="L4" s="13">
        <f t="shared" ref="L4:L16" si="1">$D$37</f>
        <v>1.48353661905364</v>
      </c>
      <c r="M4" s="14">
        <v>1</v>
      </c>
      <c r="N4" s="13">
        <f t="shared" ref="N4:N16" si="2">IF($J4&lt;=25,$J4/10/$D$29-0.025,IF($J4&lt;=425,$J4/10/$D$29-0.0375+0.000492*$J4,IF($J4&lt;=1000,$J4/10/$D$29-0.1109+0.000815*$J4-0.000000353*$J4^2)))</f>
        <v>0.0715730251531541</v>
      </c>
      <c r="O4" s="13">
        <f t="shared" ref="O4:O16" si="3">$D$47+$D$48*$J4/25.4+$D$49*($J4/25.4)^2</f>
        <v>0.175719290717417</v>
      </c>
      <c r="P4" s="13">
        <f>1+$D$43*($N4*$D$46+$O4*$D$50)</f>
        <v>1.24729231587057</v>
      </c>
      <c r="Q4" s="13">
        <f t="shared" ref="Q4:Q16" si="4">$D$18</f>
        <v>1</v>
      </c>
      <c r="R4" s="13">
        <v>0.32</v>
      </c>
      <c r="S4" s="13">
        <v>0.415</v>
      </c>
      <c r="T4" s="13">
        <f t="shared" ref="T4:T16" si="5">0.594*$D$11+87.76</f>
        <v>274.276</v>
      </c>
      <c r="U4" s="13">
        <f t="shared" ref="U4:U16" si="6">0.594*$D$12+87.76</f>
        <v>274.276</v>
      </c>
      <c r="V4" s="13">
        <f t="shared" ref="V4:V16" si="7">$D$39</f>
        <v>0.937552572025218</v>
      </c>
      <c r="W4" s="13">
        <f t="shared" ref="W4:W16" si="8">$D$40</f>
        <v>0.960975459983674</v>
      </c>
      <c r="X4" s="13">
        <f t="shared" ref="X4:X16" si="9">$D$54</f>
        <v>1</v>
      </c>
      <c r="Y4" s="13">
        <f t="shared" ref="Y4:Y16" si="10">$D$38</f>
        <v>0.885376079562748</v>
      </c>
      <c r="Z4" s="13">
        <f t="shared" ref="Z4:Z16" si="11">$D$51</f>
        <v>191</v>
      </c>
      <c r="AA4" s="13">
        <f t="shared" ref="AA4:AA16" si="12">$D$55</f>
        <v>1</v>
      </c>
      <c r="AB4" s="13">
        <f t="shared" ref="AB4:AB16" si="13">$D$53</f>
        <v>0.128557521937308</v>
      </c>
      <c r="AC4" s="13">
        <v>1172</v>
      </c>
      <c r="AD4" s="13">
        <f t="shared" ref="AD4:AD16" si="14">$D$41</f>
        <v>0.899515056792516</v>
      </c>
      <c r="AE4" s="13">
        <f t="shared" ref="AE4:AE16" si="15">$D$42</f>
        <v>0.928658027277719</v>
      </c>
      <c r="AF4" s="13">
        <f t="shared" ref="AF4:AF16" si="16">$D$56</f>
        <v>1</v>
      </c>
      <c r="AG4" s="13">
        <f t="shared" ref="AG4:AG16" si="17">$D$17*$D$32*$K4*$L4*$M4*$P4*$Q4*$X4*$Y4/$C$25/$R4/$T4/$V4</f>
        <v>69.7619200217138</v>
      </c>
      <c r="AH4" s="13">
        <f t="shared" ref="AH4:AH16" si="18">$D$17*$D$32*$K4*$L4*$M4*$P4*$Q4*$X4*$Y4/$C$25/$S4/$U4/$W4</f>
        <v>52.4811857343564</v>
      </c>
      <c r="AI4" s="13">
        <f>($Z4*$X4*$Y4/$AC4/$AD4/$AF4)^2*$D$17*$D$32*$K4*$L4*$M4*$P4*$AA4/$D$29/$AB4</f>
        <v>72.0948534492172</v>
      </c>
      <c r="AJ4" s="13">
        <f>($Z4*$X4*$Y4/$AC4/$AE4/$AF4)^2*$D$17*$D$32*$K4*$L4*$M4*$P4*$AA4/$D$29/$AB4</f>
        <v>67.6409196646651</v>
      </c>
      <c r="AK4" s="13">
        <f t="shared" ref="AK4:AK16" si="19">MAX($AG4,$AH4,$AI4,$AJ4)</f>
        <v>72.0948534492172</v>
      </c>
      <c r="AL4" s="13">
        <f t="shared" ref="AL4:AL16" si="20">$D$32*$K4*$L4*$M4*$P4*$Q4/$AK4/$C$25/$R4</f>
        <v>140.520542671151</v>
      </c>
      <c r="AM4" s="13">
        <f t="shared" ref="AM4:AM16" si="21">$D$32*$K4*$L4*$M4*$P4*$Q4/$AK4/$C$25/$S4</f>
        <v>108.353189529562</v>
      </c>
      <c r="AN4" s="13">
        <f>$Z4*SQRT($D$32*$K4*$L4*$M4*$P4*$AA4/$D$29/$AK4/$AB4)</f>
        <v>841.963503907596</v>
      </c>
      <c r="AO4" s="13">
        <f t="shared" ref="AO4:AO16" si="22">$Z4*SQRT($D$32*$K4*$L4*$M4*$P4*$AA4/$D$29/$AK4/$AB4)</f>
        <v>841.963503907596</v>
      </c>
      <c r="AP4" s="13">
        <f t="shared" ref="AP4:AP16" si="23">$T4*$V4/$X4/$Y4/$AL4</f>
        <v>2.06688271844517</v>
      </c>
      <c r="AQ4" s="13">
        <f t="shared" ref="AQ4:AQ16" si="24">$U4*$W4/$X4/$Y4/$AM4</f>
        <v>2.74745520477145</v>
      </c>
      <c r="AR4" s="13">
        <f t="shared" ref="AR4:AR16" si="25">($AC4*$AD4*$AF4/$X4/$Y4/$AN4)^2</f>
        <v>2</v>
      </c>
      <c r="AS4" s="13">
        <f t="shared" ref="AS4:AS16" si="26">($AC4*$AE4*$AF4/$X4/$Y4/$AO4)^2</f>
        <v>2.13169347213589</v>
      </c>
    </row>
    <row r="5" spans="1:45">
      <c r="A5" s="2"/>
      <c r="B5" s="1" t="s">
        <v>50</v>
      </c>
      <c r="C5" s="4" t="s">
        <v>51</v>
      </c>
      <c r="D5" s="1">
        <v>20</v>
      </c>
      <c r="E5" s="1" t="s">
        <v>52</v>
      </c>
      <c r="I5" s="1">
        <v>2</v>
      </c>
      <c r="J5" s="13">
        <f t="shared" ref="J5:J16" si="27">$AK4</f>
        <v>72.0948534492172</v>
      </c>
      <c r="K5" s="13">
        <f t="shared" si="0"/>
        <v>1</v>
      </c>
      <c r="L5" s="13">
        <f t="shared" si="1"/>
        <v>1.48353661905364</v>
      </c>
      <c r="M5" s="14">
        <v>1</v>
      </c>
      <c r="N5" s="13">
        <f t="shared" si="2"/>
        <v>0.0610457802760326</v>
      </c>
      <c r="O5" s="13">
        <f t="shared" si="3"/>
        <v>0.17109715957609</v>
      </c>
      <c r="P5" s="13">
        <f t="shared" ref="P4:P16" si="28">1+$D$43*($N5*$D$46+$O5*$D$50)</f>
        <v>1.23214293985212</v>
      </c>
      <c r="Q5" s="13">
        <f t="shared" si="4"/>
        <v>1</v>
      </c>
      <c r="R5" s="13">
        <v>0.32</v>
      </c>
      <c r="S5" s="13">
        <v>0.415</v>
      </c>
      <c r="T5" s="13">
        <f t="shared" si="5"/>
        <v>274.276</v>
      </c>
      <c r="U5" s="13">
        <f t="shared" si="6"/>
        <v>274.276</v>
      </c>
      <c r="V5" s="13">
        <f t="shared" si="7"/>
        <v>0.937552572025218</v>
      </c>
      <c r="W5" s="13">
        <f t="shared" si="8"/>
        <v>0.960975459983674</v>
      </c>
      <c r="X5" s="13">
        <f t="shared" si="9"/>
        <v>1</v>
      </c>
      <c r="Y5" s="13">
        <f t="shared" si="10"/>
        <v>0.885376079562748</v>
      </c>
      <c r="Z5" s="13">
        <f t="shared" si="11"/>
        <v>191</v>
      </c>
      <c r="AA5" s="13">
        <f t="shared" si="12"/>
        <v>1</v>
      </c>
      <c r="AB5" s="13">
        <f t="shared" si="13"/>
        <v>0.128557521937308</v>
      </c>
      <c r="AC5" s="13">
        <v>1172</v>
      </c>
      <c r="AD5" s="13">
        <f t="shared" si="14"/>
        <v>0.899515056792516</v>
      </c>
      <c r="AE5" s="13">
        <f t="shared" si="15"/>
        <v>0.928658027277719</v>
      </c>
      <c r="AF5" s="13">
        <f t="shared" si="16"/>
        <v>1</v>
      </c>
      <c r="AG5" s="13">
        <f t="shared" si="17"/>
        <v>68.9146049659482</v>
      </c>
      <c r="AH5" s="13">
        <f t="shared" si="18"/>
        <v>51.8437592013236</v>
      </c>
      <c r="AI5" s="13">
        <f t="shared" ref="AI4:AI16" si="29">($Z5*$X5*$Y5/$AC5/$AD5/$AF5)^2*$D$17*$D$32*$K5*$L5*$M5*$P5*$AA5/$D$29/$AB5</f>
        <v>71.2192030262971</v>
      </c>
      <c r="AJ5" s="13">
        <f t="shared" ref="AJ4:AJ16" si="30">($Z5*$X5*$Y5/$AC5/$AE5/$AF5)^2*$D$17*$D$32*$K5*$L5*$M5*$P5*$AA5/$D$29/$AB5</f>
        <v>66.8193658771566</v>
      </c>
      <c r="AK5" s="13">
        <f t="shared" si="19"/>
        <v>71.2192030262971</v>
      </c>
      <c r="AL5" s="13">
        <f t="shared" si="20"/>
        <v>140.520542671151</v>
      </c>
      <c r="AM5" s="13">
        <f t="shared" si="21"/>
        <v>108.353189529562</v>
      </c>
      <c r="AN5" s="13">
        <f t="shared" ref="AN4:AN16" si="31">$Z5*SQRT($D$32*$K5*$L5*$M5*$P5*$AA5/$D$29/$AK5/$AB5)</f>
        <v>841.963503907596</v>
      </c>
      <c r="AO5" s="13">
        <f t="shared" si="22"/>
        <v>841.963503907596</v>
      </c>
      <c r="AP5" s="13">
        <f t="shared" si="23"/>
        <v>2.06688271844517</v>
      </c>
      <c r="AQ5" s="13">
        <f t="shared" si="24"/>
        <v>2.74745520477145</v>
      </c>
      <c r="AR5" s="13">
        <f t="shared" si="25"/>
        <v>2</v>
      </c>
      <c r="AS5" s="13">
        <f t="shared" si="26"/>
        <v>2.13169347213589</v>
      </c>
    </row>
    <row r="6" ht="19.5" spans="1:45">
      <c r="A6" s="2"/>
      <c r="B6" s="1" t="s">
        <v>53</v>
      </c>
      <c r="C6" s="1" t="s">
        <v>54</v>
      </c>
      <c r="D6" s="1">
        <v>6</v>
      </c>
      <c r="I6" s="1">
        <v>3</v>
      </c>
      <c r="J6" s="13">
        <f t="shared" si="27"/>
        <v>71.2192030262971</v>
      </c>
      <c r="K6" s="13">
        <f t="shared" si="0"/>
        <v>1</v>
      </c>
      <c r="L6" s="13">
        <f t="shared" si="1"/>
        <v>1.48353661905364</v>
      </c>
      <c r="M6" s="14">
        <v>1</v>
      </c>
      <c r="N6" s="13">
        <f t="shared" si="2"/>
        <v>0.0598488619101954</v>
      </c>
      <c r="O6" s="13">
        <f t="shared" si="3"/>
        <v>0.170570553497894</v>
      </c>
      <c r="P6" s="13">
        <f t="shared" si="28"/>
        <v>1.23041941540809</v>
      </c>
      <c r="Q6" s="13">
        <f t="shared" si="4"/>
        <v>1</v>
      </c>
      <c r="R6" s="13">
        <v>0.32</v>
      </c>
      <c r="S6" s="13">
        <v>0.415</v>
      </c>
      <c r="T6" s="13">
        <f t="shared" si="5"/>
        <v>274.276</v>
      </c>
      <c r="U6" s="13">
        <f t="shared" si="6"/>
        <v>274.276</v>
      </c>
      <c r="V6" s="13">
        <f t="shared" si="7"/>
        <v>0.937552572025218</v>
      </c>
      <c r="W6" s="13">
        <f t="shared" si="8"/>
        <v>0.960975459983674</v>
      </c>
      <c r="X6" s="13">
        <f t="shared" si="9"/>
        <v>1</v>
      </c>
      <c r="Y6" s="13">
        <f t="shared" si="10"/>
        <v>0.885376079562748</v>
      </c>
      <c r="Z6" s="13">
        <f t="shared" si="11"/>
        <v>191</v>
      </c>
      <c r="AA6" s="13">
        <f t="shared" si="12"/>
        <v>1</v>
      </c>
      <c r="AB6" s="13">
        <f t="shared" si="13"/>
        <v>0.128557521937308</v>
      </c>
      <c r="AC6" s="13">
        <v>1172</v>
      </c>
      <c r="AD6" s="13">
        <f t="shared" si="14"/>
        <v>0.899515056792516</v>
      </c>
      <c r="AE6" s="13">
        <f t="shared" si="15"/>
        <v>0.928658027277719</v>
      </c>
      <c r="AF6" s="13">
        <f t="shared" si="16"/>
        <v>1</v>
      </c>
      <c r="AG6" s="13">
        <f t="shared" si="17"/>
        <v>68.8182070543358</v>
      </c>
      <c r="AH6" s="13">
        <f t="shared" si="18"/>
        <v>51.7712400289419</v>
      </c>
      <c r="AI6" s="13">
        <f t="shared" si="29"/>
        <v>71.1195814374941</v>
      </c>
      <c r="AJ6" s="13">
        <f t="shared" si="30"/>
        <v>66.7258987909126</v>
      </c>
      <c r="AK6" s="13">
        <f t="shared" si="19"/>
        <v>71.1195814374941</v>
      </c>
      <c r="AL6" s="13">
        <f t="shared" si="20"/>
        <v>140.520542671151</v>
      </c>
      <c r="AM6" s="13">
        <f t="shared" si="21"/>
        <v>108.353189529562</v>
      </c>
      <c r="AN6" s="13">
        <f t="shared" si="31"/>
        <v>841.963503907596</v>
      </c>
      <c r="AO6" s="13">
        <f t="shared" si="22"/>
        <v>841.963503907596</v>
      </c>
      <c r="AP6" s="13">
        <f t="shared" si="23"/>
        <v>2.06688271844517</v>
      </c>
      <c r="AQ6" s="13">
        <f t="shared" si="24"/>
        <v>2.74745520477145</v>
      </c>
      <c r="AR6" s="13">
        <f t="shared" si="25"/>
        <v>2</v>
      </c>
      <c r="AS6" s="13">
        <f t="shared" si="26"/>
        <v>2.13169347213589</v>
      </c>
    </row>
    <row r="7" spans="1:45">
      <c r="A7" s="2"/>
      <c r="B7" s="1" t="s">
        <v>55</v>
      </c>
      <c r="C7" s="1" t="s">
        <v>56</v>
      </c>
      <c r="D7" s="1">
        <v>0.95</v>
      </c>
      <c r="I7" s="1">
        <v>4</v>
      </c>
      <c r="J7" s="13">
        <f t="shared" si="27"/>
        <v>71.1195814374941</v>
      </c>
      <c r="K7" s="13">
        <f t="shared" si="0"/>
        <v>1</v>
      </c>
      <c r="L7" s="13">
        <f t="shared" si="1"/>
        <v>1.48353661905364</v>
      </c>
      <c r="M7" s="14">
        <v>1</v>
      </c>
      <c r="N7" s="13">
        <f t="shared" si="2"/>
        <v>0.0597126900930512</v>
      </c>
      <c r="O7" s="13">
        <f t="shared" si="3"/>
        <v>0.170510628216501</v>
      </c>
      <c r="P7" s="13">
        <f t="shared" si="28"/>
        <v>1.23022331830955</v>
      </c>
      <c r="Q7" s="13">
        <f t="shared" si="4"/>
        <v>1</v>
      </c>
      <c r="R7" s="13">
        <v>0.32</v>
      </c>
      <c r="S7" s="13">
        <v>0.415</v>
      </c>
      <c r="T7" s="13">
        <f t="shared" si="5"/>
        <v>274.276</v>
      </c>
      <c r="U7" s="13">
        <f t="shared" si="6"/>
        <v>274.276</v>
      </c>
      <c r="V7" s="13">
        <f t="shared" si="7"/>
        <v>0.937552572025218</v>
      </c>
      <c r="W7" s="13">
        <f t="shared" si="8"/>
        <v>0.960975459983674</v>
      </c>
      <c r="X7" s="13">
        <f t="shared" si="9"/>
        <v>1</v>
      </c>
      <c r="Y7" s="13">
        <f t="shared" si="10"/>
        <v>0.885376079562748</v>
      </c>
      <c r="Z7" s="13">
        <f t="shared" si="11"/>
        <v>191</v>
      </c>
      <c r="AA7" s="13">
        <f t="shared" si="12"/>
        <v>1</v>
      </c>
      <c r="AB7" s="13">
        <f t="shared" si="13"/>
        <v>0.128557521937308</v>
      </c>
      <c r="AC7" s="13">
        <v>1172</v>
      </c>
      <c r="AD7" s="13">
        <f t="shared" si="14"/>
        <v>0.899515056792516</v>
      </c>
      <c r="AE7" s="13">
        <f t="shared" si="15"/>
        <v>0.928658027277719</v>
      </c>
      <c r="AF7" s="13">
        <f t="shared" si="16"/>
        <v>1</v>
      </c>
      <c r="AG7" s="13">
        <f t="shared" si="17"/>
        <v>68.8072392082819</v>
      </c>
      <c r="AH7" s="13">
        <f t="shared" si="18"/>
        <v>51.7629890294613</v>
      </c>
      <c r="AI7" s="13">
        <f t="shared" si="29"/>
        <v>71.1082468117604</v>
      </c>
      <c r="AJ7" s="13">
        <f t="shared" si="30"/>
        <v>66.7152644047949</v>
      </c>
      <c r="AK7" s="13">
        <f t="shared" si="19"/>
        <v>71.1082468117604</v>
      </c>
      <c r="AL7" s="13">
        <f t="shared" si="20"/>
        <v>140.520542671151</v>
      </c>
      <c r="AM7" s="13">
        <f t="shared" si="21"/>
        <v>108.353189529562</v>
      </c>
      <c r="AN7" s="13">
        <f t="shared" si="31"/>
        <v>841.963503907596</v>
      </c>
      <c r="AO7" s="13">
        <f t="shared" si="22"/>
        <v>841.963503907596</v>
      </c>
      <c r="AP7" s="13">
        <f t="shared" si="23"/>
        <v>2.06688271844517</v>
      </c>
      <c r="AQ7" s="13">
        <f t="shared" si="24"/>
        <v>2.74745520477145</v>
      </c>
      <c r="AR7" s="13">
        <f t="shared" si="25"/>
        <v>2</v>
      </c>
      <c r="AS7" s="13">
        <f t="shared" si="26"/>
        <v>2.13169347213589</v>
      </c>
    </row>
    <row r="8" ht="19.5" spans="1:45">
      <c r="A8" s="2"/>
      <c r="B8" s="1" t="s">
        <v>57</v>
      </c>
      <c r="C8" s="1" t="s">
        <v>58</v>
      </c>
      <c r="D8" s="1">
        <v>4</v>
      </c>
      <c r="I8" s="1">
        <v>5</v>
      </c>
      <c r="J8" s="13">
        <f t="shared" si="27"/>
        <v>71.1082468117604</v>
      </c>
      <c r="K8" s="13">
        <f t="shared" si="0"/>
        <v>1</v>
      </c>
      <c r="L8" s="13">
        <f t="shared" si="1"/>
        <v>1.48353661905364</v>
      </c>
      <c r="M8" s="14">
        <v>1</v>
      </c>
      <c r="N8" s="13">
        <f t="shared" si="2"/>
        <v>0.059697196899243</v>
      </c>
      <c r="O8" s="13">
        <f t="shared" si="3"/>
        <v>0.170503809928365</v>
      </c>
      <c r="P8" s="13">
        <f t="shared" si="28"/>
        <v>1.23020100682761</v>
      </c>
      <c r="Q8" s="13">
        <f t="shared" si="4"/>
        <v>1</v>
      </c>
      <c r="R8" s="13">
        <v>0.32</v>
      </c>
      <c r="S8" s="13">
        <v>0.415</v>
      </c>
      <c r="T8" s="13">
        <f t="shared" si="5"/>
        <v>274.276</v>
      </c>
      <c r="U8" s="13">
        <f t="shared" si="6"/>
        <v>274.276</v>
      </c>
      <c r="V8" s="13">
        <f t="shared" si="7"/>
        <v>0.937552572025218</v>
      </c>
      <c r="W8" s="13">
        <f t="shared" si="8"/>
        <v>0.960975459983674</v>
      </c>
      <c r="X8" s="13">
        <f t="shared" si="9"/>
        <v>1</v>
      </c>
      <c r="Y8" s="13">
        <f t="shared" si="10"/>
        <v>0.885376079562748</v>
      </c>
      <c r="Z8" s="13">
        <f t="shared" si="11"/>
        <v>191</v>
      </c>
      <c r="AA8" s="13">
        <f t="shared" si="12"/>
        <v>1</v>
      </c>
      <c r="AB8" s="13">
        <f t="shared" si="13"/>
        <v>0.128557521937308</v>
      </c>
      <c r="AC8" s="13">
        <v>1172</v>
      </c>
      <c r="AD8" s="13">
        <f t="shared" si="14"/>
        <v>0.899515056792516</v>
      </c>
      <c r="AE8" s="13">
        <f t="shared" si="15"/>
        <v>0.928658027277719</v>
      </c>
      <c r="AF8" s="13">
        <f t="shared" si="16"/>
        <v>1</v>
      </c>
      <c r="AG8" s="13">
        <f t="shared" si="17"/>
        <v>68.805991311699</v>
      </c>
      <c r="AH8" s="13">
        <f t="shared" si="18"/>
        <v>51.7620502495033</v>
      </c>
      <c r="AI8" s="13">
        <f t="shared" si="29"/>
        <v>71.1069571838196</v>
      </c>
      <c r="AJ8" s="13">
        <f t="shared" si="30"/>
        <v>66.7140544485251</v>
      </c>
      <c r="AK8" s="13">
        <f t="shared" si="19"/>
        <v>71.1069571838196</v>
      </c>
      <c r="AL8" s="13">
        <f t="shared" si="20"/>
        <v>140.520542671151</v>
      </c>
      <c r="AM8" s="13">
        <f t="shared" si="21"/>
        <v>108.353189529562</v>
      </c>
      <c r="AN8" s="13">
        <f t="shared" si="31"/>
        <v>841.963503907596</v>
      </c>
      <c r="AO8" s="13">
        <f t="shared" si="22"/>
        <v>841.963503907596</v>
      </c>
      <c r="AP8" s="13">
        <f t="shared" si="23"/>
        <v>2.06688271844517</v>
      </c>
      <c r="AQ8" s="13">
        <f t="shared" si="24"/>
        <v>2.74745520477145</v>
      </c>
      <c r="AR8" s="13">
        <f t="shared" si="25"/>
        <v>2</v>
      </c>
      <c r="AS8" s="13">
        <f t="shared" si="26"/>
        <v>2.13169347213589</v>
      </c>
    </row>
    <row r="9" spans="1:45">
      <c r="A9" s="2"/>
      <c r="B9" s="1" t="s">
        <v>59</v>
      </c>
      <c r="C9" s="1" t="s">
        <v>60</v>
      </c>
      <c r="D9" s="1">
        <f>10^9</f>
        <v>1000000000</v>
      </c>
      <c r="E9" s="1" t="s">
        <v>61</v>
      </c>
      <c r="I9" s="1">
        <v>6</v>
      </c>
      <c r="J9" s="13">
        <f t="shared" si="27"/>
        <v>71.1069571838196</v>
      </c>
      <c r="K9" s="13">
        <f t="shared" si="0"/>
        <v>1</v>
      </c>
      <c r="L9" s="13">
        <f t="shared" si="1"/>
        <v>1.48353661905364</v>
      </c>
      <c r="M9" s="14">
        <v>1</v>
      </c>
      <c r="N9" s="13">
        <f t="shared" si="2"/>
        <v>0.0596954341188833</v>
      </c>
      <c r="O9" s="13">
        <f t="shared" si="3"/>
        <v>0.170503034156699</v>
      </c>
      <c r="P9" s="13">
        <f t="shared" si="28"/>
        <v>1.23019846827558</v>
      </c>
      <c r="Q9" s="13">
        <f t="shared" si="4"/>
        <v>1</v>
      </c>
      <c r="R9" s="13">
        <v>0.32</v>
      </c>
      <c r="S9" s="13">
        <v>0.415</v>
      </c>
      <c r="T9" s="13">
        <f t="shared" si="5"/>
        <v>274.276</v>
      </c>
      <c r="U9" s="13">
        <f t="shared" si="6"/>
        <v>274.276</v>
      </c>
      <c r="V9" s="13">
        <f t="shared" si="7"/>
        <v>0.937552572025218</v>
      </c>
      <c r="W9" s="13">
        <f t="shared" si="8"/>
        <v>0.960975459983674</v>
      </c>
      <c r="X9" s="13">
        <f t="shared" si="9"/>
        <v>1</v>
      </c>
      <c r="Y9" s="13">
        <f t="shared" si="10"/>
        <v>0.885376079562748</v>
      </c>
      <c r="Z9" s="13">
        <f t="shared" si="11"/>
        <v>191</v>
      </c>
      <c r="AA9" s="13">
        <f t="shared" si="12"/>
        <v>1</v>
      </c>
      <c r="AB9" s="13">
        <f t="shared" si="13"/>
        <v>0.128557521937308</v>
      </c>
      <c r="AC9" s="13">
        <v>1172</v>
      </c>
      <c r="AD9" s="13">
        <f t="shared" si="14"/>
        <v>0.899515056792516</v>
      </c>
      <c r="AE9" s="13">
        <f t="shared" si="15"/>
        <v>0.928658027277719</v>
      </c>
      <c r="AF9" s="13">
        <f t="shared" si="16"/>
        <v>1</v>
      </c>
      <c r="AG9" s="13">
        <f t="shared" si="17"/>
        <v>68.8058493287322</v>
      </c>
      <c r="AH9" s="13">
        <f t="shared" si="18"/>
        <v>51.7619434371558</v>
      </c>
      <c r="AI9" s="13">
        <f t="shared" si="29"/>
        <v>71.1068104527494</v>
      </c>
      <c r="AJ9" s="13">
        <f t="shared" si="30"/>
        <v>66.7139167823249</v>
      </c>
      <c r="AK9" s="13">
        <f t="shared" si="19"/>
        <v>71.1068104527494</v>
      </c>
      <c r="AL9" s="13">
        <f t="shared" si="20"/>
        <v>140.520542671151</v>
      </c>
      <c r="AM9" s="13">
        <f t="shared" si="21"/>
        <v>108.353189529562</v>
      </c>
      <c r="AN9" s="13">
        <f t="shared" si="31"/>
        <v>841.963503907596</v>
      </c>
      <c r="AO9" s="13">
        <f t="shared" si="22"/>
        <v>841.963503907596</v>
      </c>
      <c r="AP9" s="13">
        <f t="shared" si="23"/>
        <v>2.06688271844517</v>
      </c>
      <c r="AQ9" s="13">
        <f t="shared" si="24"/>
        <v>2.74745520477145</v>
      </c>
      <c r="AR9" s="13">
        <f t="shared" si="25"/>
        <v>2</v>
      </c>
      <c r="AS9" s="13">
        <f t="shared" si="26"/>
        <v>2.13169347213589</v>
      </c>
    </row>
    <row r="10" spans="1:45">
      <c r="A10" s="2"/>
      <c r="B10" s="1" t="s">
        <v>62</v>
      </c>
      <c r="D10" s="1" t="s">
        <v>63</v>
      </c>
      <c r="I10" s="1">
        <v>7</v>
      </c>
      <c r="J10" s="13">
        <f t="shared" si="27"/>
        <v>71.1068104527494</v>
      </c>
      <c r="K10" s="13">
        <f t="shared" si="0"/>
        <v>1</v>
      </c>
      <c r="L10" s="13">
        <f t="shared" si="1"/>
        <v>1.48353661905364</v>
      </c>
      <c r="M10" s="14">
        <v>1</v>
      </c>
      <c r="N10" s="13">
        <f t="shared" si="2"/>
        <v>0.0596952335535571</v>
      </c>
      <c r="O10" s="13">
        <f t="shared" si="3"/>
        <v>0.170502945891051</v>
      </c>
      <c r="P10" s="13">
        <f t="shared" si="28"/>
        <v>1.23019817944461</v>
      </c>
      <c r="Q10" s="13">
        <f t="shared" si="4"/>
        <v>1</v>
      </c>
      <c r="R10" s="13">
        <v>0.32</v>
      </c>
      <c r="S10" s="13">
        <v>0.415</v>
      </c>
      <c r="T10" s="13">
        <f t="shared" si="5"/>
        <v>274.276</v>
      </c>
      <c r="U10" s="13">
        <f t="shared" si="6"/>
        <v>274.276</v>
      </c>
      <c r="V10" s="13">
        <f t="shared" si="7"/>
        <v>0.937552572025218</v>
      </c>
      <c r="W10" s="13">
        <f t="shared" si="8"/>
        <v>0.960975459983674</v>
      </c>
      <c r="X10" s="13">
        <f t="shared" si="9"/>
        <v>1</v>
      </c>
      <c r="Y10" s="13">
        <f t="shared" si="10"/>
        <v>0.885376079562748</v>
      </c>
      <c r="Z10" s="13">
        <f t="shared" si="11"/>
        <v>191</v>
      </c>
      <c r="AA10" s="13">
        <f t="shared" si="12"/>
        <v>1</v>
      </c>
      <c r="AB10" s="13">
        <f t="shared" si="13"/>
        <v>0.128557521937308</v>
      </c>
      <c r="AC10" s="13">
        <v>1172</v>
      </c>
      <c r="AD10" s="13">
        <f t="shared" si="14"/>
        <v>0.899515056792516</v>
      </c>
      <c r="AE10" s="13">
        <f t="shared" si="15"/>
        <v>0.928658027277719</v>
      </c>
      <c r="AF10" s="13">
        <f t="shared" si="16"/>
        <v>1</v>
      </c>
      <c r="AG10" s="13">
        <f t="shared" si="17"/>
        <v>68.8058331742165</v>
      </c>
      <c r="AH10" s="13">
        <f t="shared" si="18"/>
        <v>51.7619312842772</v>
      </c>
      <c r="AI10" s="13">
        <f t="shared" si="29"/>
        <v>71.1067937580048</v>
      </c>
      <c r="AJ10" s="13">
        <f t="shared" si="30"/>
        <v>66.7139011189616</v>
      </c>
      <c r="AK10" s="13">
        <f t="shared" si="19"/>
        <v>71.1067937580048</v>
      </c>
      <c r="AL10" s="13">
        <f t="shared" si="20"/>
        <v>140.520542671151</v>
      </c>
      <c r="AM10" s="13">
        <f t="shared" si="21"/>
        <v>108.353189529562</v>
      </c>
      <c r="AN10" s="13">
        <f t="shared" si="31"/>
        <v>841.963503907596</v>
      </c>
      <c r="AO10" s="13">
        <f t="shared" si="22"/>
        <v>841.963503907596</v>
      </c>
      <c r="AP10" s="13">
        <f t="shared" si="23"/>
        <v>2.06688271844517</v>
      </c>
      <c r="AQ10" s="13">
        <f t="shared" si="24"/>
        <v>2.74745520477145</v>
      </c>
      <c r="AR10" s="13">
        <f t="shared" si="25"/>
        <v>2</v>
      </c>
      <c r="AS10" s="13">
        <f t="shared" si="26"/>
        <v>2.13169347213589</v>
      </c>
    </row>
    <row r="11" ht="19.5" spans="1:45">
      <c r="A11" s="2"/>
      <c r="B11" s="1" t="s">
        <v>64</v>
      </c>
      <c r="C11" s="1" t="s">
        <v>65</v>
      </c>
      <c r="D11" s="1">
        <v>314</v>
      </c>
      <c r="E11" s="1" t="s">
        <v>66</v>
      </c>
      <c r="I11" s="1">
        <v>8</v>
      </c>
      <c r="J11" s="13">
        <f t="shared" si="27"/>
        <v>71.1067937580048</v>
      </c>
      <c r="K11" s="13">
        <f t="shared" si="0"/>
        <v>1</v>
      </c>
      <c r="L11" s="13">
        <f t="shared" si="1"/>
        <v>1.48353661905364</v>
      </c>
      <c r="M11" s="14">
        <v>1</v>
      </c>
      <c r="N11" s="13">
        <f t="shared" si="2"/>
        <v>0.0596952107336669</v>
      </c>
      <c r="O11" s="13">
        <f t="shared" si="3"/>
        <v>0.170502935848376</v>
      </c>
      <c r="P11" s="13">
        <f t="shared" si="28"/>
        <v>1.23019814658204</v>
      </c>
      <c r="Q11" s="13">
        <f t="shared" si="4"/>
        <v>1</v>
      </c>
      <c r="R11" s="13">
        <v>0.32</v>
      </c>
      <c r="S11" s="13">
        <v>0.415</v>
      </c>
      <c r="T11" s="13">
        <f t="shared" si="5"/>
        <v>274.276</v>
      </c>
      <c r="U11" s="13">
        <f t="shared" si="6"/>
        <v>274.276</v>
      </c>
      <c r="V11" s="13">
        <f t="shared" si="7"/>
        <v>0.937552572025218</v>
      </c>
      <c r="W11" s="13">
        <f t="shared" si="8"/>
        <v>0.960975459983674</v>
      </c>
      <c r="X11" s="13">
        <f t="shared" si="9"/>
        <v>1</v>
      </c>
      <c r="Y11" s="13">
        <f t="shared" si="10"/>
        <v>0.885376079562748</v>
      </c>
      <c r="Z11" s="13">
        <f t="shared" si="11"/>
        <v>191</v>
      </c>
      <c r="AA11" s="13">
        <f t="shared" si="12"/>
        <v>1</v>
      </c>
      <c r="AB11" s="13">
        <f t="shared" si="13"/>
        <v>0.128557521937308</v>
      </c>
      <c r="AC11" s="13">
        <v>1172</v>
      </c>
      <c r="AD11" s="13">
        <f t="shared" si="14"/>
        <v>0.899515056792516</v>
      </c>
      <c r="AE11" s="13">
        <f t="shared" si="15"/>
        <v>0.928658027277719</v>
      </c>
      <c r="AF11" s="13">
        <f t="shared" si="16"/>
        <v>1</v>
      </c>
      <c r="AG11" s="13">
        <f t="shared" si="17"/>
        <v>68.8058313361906</v>
      </c>
      <c r="AH11" s="13">
        <f t="shared" si="18"/>
        <v>51.7619299015489</v>
      </c>
      <c r="AI11" s="13">
        <f t="shared" si="29"/>
        <v>71.1067918585127</v>
      </c>
      <c r="AJ11" s="13">
        <f t="shared" si="30"/>
        <v>66.7138993368179</v>
      </c>
      <c r="AK11" s="13">
        <f t="shared" si="19"/>
        <v>71.1067918585127</v>
      </c>
      <c r="AL11" s="13">
        <f t="shared" si="20"/>
        <v>140.520542671151</v>
      </c>
      <c r="AM11" s="13">
        <f t="shared" si="21"/>
        <v>108.353189529562</v>
      </c>
      <c r="AN11" s="13">
        <f t="shared" si="31"/>
        <v>841.963503907596</v>
      </c>
      <c r="AO11" s="13">
        <f t="shared" si="22"/>
        <v>841.963503907596</v>
      </c>
      <c r="AP11" s="13">
        <f t="shared" si="23"/>
        <v>2.06688271844517</v>
      </c>
      <c r="AQ11" s="13">
        <f t="shared" si="24"/>
        <v>2.74745520477145</v>
      </c>
      <c r="AR11" s="13">
        <f t="shared" si="25"/>
        <v>2</v>
      </c>
      <c r="AS11" s="13">
        <f t="shared" si="26"/>
        <v>2.13169347213589</v>
      </c>
    </row>
    <row r="12" ht="19.5" spans="1:45">
      <c r="A12" s="2"/>
      <c r="B12" s="1" t="s">
        <v>67</v>
      </c>
      <c r="C12" s="1" t="s">
        <v>68</v>
      </c>
      <c r="D12" s="1">
        <v>314</v>
      </c>
      <c r="E12" s="1" t="s">
        <v>66</v>
      </c>
      <c r="I12" s="1">
        <v>9</v>
      </c>
      <c r="J12" s="13">
        <f t="shared" si="27"/>
        <v>71.1067918585127</v>
      </c>
      <c r="K12" s="13">
        <f t="shared" si="0"/>
        <v>1</v>
      </c>
      <c r="L12" s="13">
        <f t="shared" si="1"/>
        <v>1.48353661905364</v>
      </c>
      <c r="M12" s="14">
        <v>1</v>
      </c>
      <c r="N12" s="13">
        <f t="shared" si="2"/>
        <v>0.059695208137269</v>
      </c>
      <c r="O12" s="13">
        <f t="shared" si="3"/>
        <v>0.170502934705742</v>
      </c>
      <c r="P12" s="13">
        <f t="shared" si="28"/>
        <v>1.23019814284301</v>
      </c>
      <c r="Q12" s="13">
        <f t="shared" si="4"/>
        <v>1</v>
      </c>
      <c r="R12" s="13">
        <v>0.32</v>
      </c>
      <c r="S12" s="13">
        <v>0.415</v>
      </c>
      <c r="T12" s="13">
        <f t="shared" si="5"/>
        <v>274.276</v>
      </c>
      <c r="U12" s="13">
        <f t="shared" si="6"/>
        <v>274.276</v>
      </c>
      <c r="V12" s="13">
        <f t="shared" si="7"/>
        <v>0.937552572025218</v>
      </c>
      <c r="W12" s="13">
        <f t="shared" si="8"/>
        <v>0.960975459983674</v>
      </c>
      <c r="X12" s="13">
        <f t="shared" si="9"/>
        <v>1</v>
      </c>
      <c r="Y12" s="13">
        <f t="shared" si="10"/>
        <v>0.885376079562748</v>
      </c>
      <c r="Z12" s="13">
        <f t="shared" si="11"/>
        <v>191</v>
      </c>
      <c r="AA12" s="13">
        <f t="shared" si="12"/>
        <v>1</v>
      </c>
      <c r="AB12" s="13">
        <f t="shared" si="13"/>
        <v>0.128557521937308</v>
      </c>
      <c r="AC12" s="13">
        <v>1172</v>
      </c>
      <c r="AD12" s="13">
        <f t="shared" si="14"/>
        <v>0.899515056792516</v>
      </c>
      <c r="AE12" s="13">
        <f t="shared" si="15"/>
        <v>0.928658027277719</v>
      </c>
      <c r="AF12" s="13">
        <f t="shared" si="16"/>
        <v>1</v>
      </c>
      <c r="AG12" s="13">
        <f t="shared" si="17"/>
        <v>68.8058311270639</v>
      </c>
      <c r="AH12" s="13">
        <f t="shared" si="18"/>
        <v>51.761929744225</v>
      </c>
      <c r="AI12" s="13">
        <f t="shared" si="29"/>
        <v>71.1067916423926</v>
      </c>
      <c r="AJ12" s="13">
        <f t="shared" si="30"/>
        <v>66.7138991340494</v>
      </c>
      <c r="AK12" s="13">
        <f t="shared" si="19"/>
        <v>71.1067916423926</v>
      </c>
      <c r="AL12" s="13">
        <f t="shared" si="20"/>
        <v>140.520542671151</v>
      </c>
      <c r="AM12" s="13">
        <f t="shared" si="21"/>
        <v>108.353189529562</v>
      </c>
      <c r="AN12" s="13">
        <f t="shared" si="31"/>
        <v>841.963503907596</v>
      </c>
      <c r="AO12" s="13">
        <f t="shared" si="22"/>
        <v>841.963503907596</v>
      </c>
      <c r="AP12" s="13">
        <f t="shared" si="23"/>
        <v>2.06688271844517</v>
      </c>
      <c r="AQ12" s="13">
        <f t="shared" si="24"/>
        <v>2.74745520477145</v>
      </c>
      <c r="AR12" s="13">
        <f t="shared" si="25"/>
        <v>2</v>
      </c>
      <c r="AS12" s="13">
        <f t="shared" si="26"/>
        <v>2.13169347213589</v>
      </c>
    </row>
    <row r="13" ht="19.5" spans="1:45">
      <c r="A13" s="2"/>
      <c r="B13" s="1" t="s">
        <v>69</v>
      </c>
      <c r="C13" s="1" t="s">
        <v>70</v>
      </c>
      <c r="D13" s="1">
        <v>1</v>
      </c>
      <c r="E13" s="1" t="s">
        <v>71</v>
      </c>
      <c r="I13" s="1">
        <v>10</v>
      </c>
      <c r="J13" s="13">
        <f t="shared" si="27"/>
        <v>71.1067916423926</v>
      </c>
      <c r="K13" s="13">
        <f t="shared" si="0"/>
        <v>1</v>
      </c>
      <c r="L13" s="13">
        <f t="shared" si="1"/>
        <v>1.48353661905364</v>
      </c>
      <c r="M13" s="14">
        <v>1</v>
      </c>
      <c r="N13" s="13">
        <f t="shared" si="2"/>
        <v>0.0596952078418564</v>
      </c>
      <c r="O13" s="13">
        <f t="shared" si="3"/>
        <v>0.170502934575735</v>
      </c>
      <c r="P13" s="13">
        <f t="shared" si="28"/>
        <v>1.23019814241759</v>
      </c>
      <c r="Q13" s="13">
        <f t="shared" si="4"/>
        <v>1</v>
      </c>
      <c r="R13" s="13">
        <v>0.32</v>
      </c>
      <c r="S13" s="13">
        <v>0.415</v>
      </c>
      <c r="T13" s="13">
        <f t="shared" si="5"/>
        <v>274.276</v>
      </c>
      <c r="U13" s="13">
        <f t="shared" si="6"/>
        <v>274.276</v>
      </c>
      <c r="V13" s="13">
        <f t="shared" si="7"/>
        <v>0.937552572025218</v>
      </c>
      <c r="W13" s="13">
        <f t="shared" si="8"/>
        <v>0.960975459983674</v>
      </c>
      <c r="X13" s="13">
        <f t="shared" si="9"/>
        <v>1</v>
      </c>
      <c r="Y13" s="13">
        <f t="shared" si="10"/>
        <v>0.885376079562748</v>
      </c>
      <c r="Z13" s="13">
        <f t="shared" si="11"/>
        <v>191</v>
      </c>
      <c r="AA13" s="13">
        <f t="shared" si="12"/>
        <v>1</v>
      </c>
      <c r="AB13" s="13">
        <f t="shared" si="13"/>
        <v>0.128557521937308</v>
      </c>
      <c r="AC13" s="13">
        <v>1172</v>
      </c>
      <c r="AD13" s="13">
        <f t="shared" si="14"/>
        <v>0.899515056792516</v>
      </c>
      <c r="AE13" s="13">
        <f t="shared" si="15"/>
        <v>0.928658027277719</v>
      </c>
      <c r="AF13" s="13">
        <f t="shared" si="16"/>
        <v>1</v>
      </c>
      <c r="AG13" s="13">
        <f t="shared" si="17"/>
        <v>68.8058311032699</v>
      </c>
      <c r="AH13" s="13">
        <f t="shared" si="18"/>
        <v>51.7619297263251</v>
      </c>
      <c r="AI13" s="13">
        <f t="shared" si="29"/>
        <v>71.1067916178029</v>
      </c>
      <c r="AJ13" s="13">
        <f t="shared" si="30"/>
        <v>66.7138991109789</v>
      </c>
      <c r="AK13" s="13">
        <f t="shared" si="19"/>
        <v>71.1067916178029</v>
      </c>
      <c r="AL13" s="13">
        <f t="shared" si="20"/>
        <v>140.520542671151</v>
      </c>
      <c r="AM13" s="13">
        <f t="shared" si="21"/>
        <v>108.353189529562</v>
      </c>
      <c r="AN13" s="13">
        <f t="shared" si="31"/>
        <v>841.963503907596</v>
      </c>
      <c r="AO13" s="13">
        <f t="shared" si="22"/>
        <v>841.963503907596</v>
      </c>
      <c r="AP13" s="13">
        <f t="shared" si="23"/>
        <v>2.06688271844517</v>
      </c>
      <c r="AQ13" s="13">
        <f t="shared" si="24"/>
        <v>2.74745520477145</v>
      </c>
      <c r="AR13" s="13">
        <f t="shared" si="25"/>
        <v>2</v>
      </c>
      <c r="AS13" s="13">
        <f t="shared" si="26"/>
        <v>2.13169347213589</v>
      </c>
    </row>
    <row r="14" spans="9:45">
      <c r="I14" s="1">
        <v>11</v>
      </c>
      <c r="J14" s="13">
        <f t="shared" si="27"/>
        <v>71.1067916178029</v>
      </c>
      <c r="K14" s="13">
        <f t="shared" si="0"/>
        <v>1</v>
      </c>
      <c r="L14" s="13">
        <f t="shared" si="1"/>
        <v>1.48353661905364</v>
      </c>
      <c r="M14" s="14">
        <v>1</v>
      </c>
      <c r="N14" s="13">
        <f t="shared" si="2"/>
        <v>0.0596952078082451</v>
      </c>
      <c r="O14" s="13">
        <f t="shared" si="3"/>
        <v>0.170502934560943</v>
      </c>
      <c r="P14" s="13">
        <f t="shared" si="28"/>
        <v>1.23019814236919</v>
      </c>
      <c r="Q14" s="13">
        <f t="shared" si="4"/>
        <v>1</v>
      </c>
      <c r="R14" s="13">
        <v>0.32</v>
      </c>
      <c r="S14" s="13">
        <v>0.415</v>
      </c>
      <c r="T14" s="13">
        <f t="shared" si="5"/>
        <v>274.276</v>
      </c>
      <c r="U14" s="13">
        <f t="shared" si="6"/>
        <v>274.276</v>
      </c>
      <c r="V14" s="13">
        <f t="shared" si="7"/>
        <v>0.937552572025218</v>
      </c>
      <c r="W14" s="13">
        <f t="shared" si="8"/>
        <v>0.960975459983674</v>
      </c>
      <c r="X14" s="13">
        <f t="shared" si="9"/>
        <v>1</v>
      </c>
      <c r="Y14" s="13">
        <f t="shared" si="10"/>
        <v>0.885376079562748</v>
      </c>
      <c r="Z14" s="13">
        <f t="shared" si="11"/>
        <v>191</v>
      </c>
      <c r="AA14" s="13">
        <f t="shared" si="12"/>
        <v>1</v>
      </c>
      <c r="AB14" s="13">
        <f t="shared" si="13"/>
        <v>0.128557521937308</v>
      </c>
      <c r="AC14" s="13">
        <v>1172</v>
      </c>
      <c r="AD14" s="13">
        <f t="shared" si="14"/>
        <v>0.899515056792516</v>
      </c>
      <c r="AE14" s="13">
        <f t="shared" si="15"/>
        <v>0.928658027277719</v>
      </c>
      <c r="AF14" s="13">
        <f t="shared" si="16"/>
        <v>1</v>
      </c>
      <c r="AG14" s="13">
        <f t="shared" si="17"/>
        <v>68.8058311005627</v>
      </c>
      <c r="AH14" s="13">
        <f t="shared" si="18"/>
        <v>51.7619297242885</v>
      </c>
      <c r="AI14" s="13">
        <f t="shared" si="29"/>
        <v>71.1067916150052</v>
      </c>
      <c r="AJ14" s="13">
        <f t="shared" si="30"/>
        <v>66.713899108354</v>
      </c>
      <c r="AK14" s="13">
        <f t="shared" si="19"/>
        <v>71.1067916150052</v>
      </c>
      <c r="AL14" s="13">
        <f t="shared" si="20"/>
        <v>140.520542671151</v>
      </c>
      <c r="AM14" s="13">
        <f t="shared" si="21"/>
        <v>108.353189529562</v>
      </c>
      <c r="AN14" s="13">
        <f t="shared" si="31"/>
        <v>841.963503907596</v>
      </c>
      <c r="AO14" s="13">
        <f t="shared" si="22"/>
        <v>841.963503907596</v>
      </c>
      <c r="AP14" s="13">
        <f t="shared" si="23"/>
        <v>2.06688271844517</v>
      </c>
      <c r="AQ14" s="13">
        <f t="shared" si="24"/>
        <v>2.74745520477145</v>
      </c>
      <c r="AR14" s="13">
        <f t="shared" si="25"/>
        <v>2</v>
      </c>
      <c r="AS14" s="13">
        <f t="shared" si="26"/>
        <v>2.13169347213589</v>
      </c>
    </row>
    <row r="15" ht="19.5" spans="1:45">
      <c r="A15" s="2" t="s">
        <v>72</v>
      </c>
      <c r="B15" s="1" t="s">
        <v>73</v>
      </c>
      <c r="C15" s="1" t="s">
        <v>74</v>
      </c>
      <c r="D15" s="1">
        <v>18</v>
      </c>
      <c r="I15" s="1">
        <v>12</v>
      </c>
      <c r="J15" s="13">
        <f t="shared" si="27"/>
        <v>71.1067916150052</v>
      </c>
      <c r="K15" s="13">
        <f t="shared" si="0"/>
        <v>1</v>
      </c>
      <c r="L15" s="13">
        <f t="shared" si="1"/>
        <v>1.48353661905364</v>
      </c>
      <c r="M15" s="14">
        <v>1</v>
      </c>
      <c r="N15" s="13">
        <f t="shared" si="2"/>
        <v>0.0596952078044208</v>
      </c>
      <c r="O15" s="13">
        <f t="shared" si="3"/>
        <v>0.17050293455926</v>
      </c>
      <c r="P15" s="13">
        <f t="shared" si="28"/>
        <v>1.23019814236368</v>
      </c>
      <c r="Q15" s="13">
        <f t="shared" si="4"/>
        <v>1</v>
      </c>
      <c r="R15" s="13">
        <v>0.32</v>
      </c>
      <c r="S15" s="13">
        <v>0.415</v>
      </c>
      <c r="T15" s="13">
        <f t="shared" si="5"/>
        <v>274.276</v>
      </c>
      <c r="U15" s="13">
        <f t="shared" si="6"/>
        <v>274.276</v>
      </c>
      <c r="V15" s="13">
        <f t="shared" si="7"/>
        <v>0.937552572025218</v>
      </c>
      <c r="W15" s="13">
        <f t="shared" si="8"/>
        <v>0.960975459983674</v>
      </c>
      <c r="X15" s="13">
        <f t="shared" si="9"/>
        <v>1</v>
      </c>
      <c r="Y15" s="13">
        <f t="shared" si="10"/>
        <v>0.885376079562748</v>
      </c>
      <c r="Z15" s="13">
        <f t="shared" si="11"/>
        <v>191</v>
      </c>
      <c r="AA15" s="13">
        <f t="shared" si="12"/>
        <v>1</v>
      </c>
      <c r="AB15" s="13">
        <f t="shared" si="13"/>
        <v>0.128557521937308</v>
      </c>
      <c r="AC15" s="13">
        <v>1172</v>
      </c>
      <c r="AD15" s="13">
        <f t="shared" si="14"/>
        <v>0.899515056792516</v>
      </c>
      <c r="AE15" s="13">
        <f t="shared" si="15"/>
        <v>0.928658027277719</v>
      </c>
      <c r="AF15" s="13">
        <f t="shared" si="16"/>
        <v>1</v>
      </c>
      <c r="AG15" s="13">
        <f t="shared" si="17"/>
        <v>68.8058311002547</v>
      </c>
      <c r="AH15" s="13">
        <f t="shared" si="18"/>
        <v>51.7619297240567</v>
      </c>
      <c r="AI15" s="13">
        <f t="shared" si="29"/>
        <v>71.1067916146868</v>
      </c>
      <c r="AJ15" s="13">
        <f t="shared" si="30"/>
        <v>66.7138991080553</v>
      </c>
      <c r="AK15" s="13">
        <f t="shared" si="19"/>
        <v>71.1067916146868</v>
      </c>
      <c r="AL15" s="13">
        <f t="shared" si="20"/>
        <v>140.520542671151</v>
      </c>
      <c r="AM15" s="13">
        <f t="shared" si="21"/>
        <v>108.353189529562</v>
      </c>
      <c r="AN15" s="13">
        <f t="shared" si="31"/>
        <v>841.963503907596</v>
      </c>
      <c r="AO15" s="13">
        <f t="shared" si="22"/>
        <v>841.963503907596</v>
      </c>
      <c r="AP15" s="13">
        <f t="shared" si="23"/>
        <v>2.06688271844517</v>
      </c>
      <c r="AQ15" s="13">
        <f t="shared" si="24"/>
        <v>2.74745520477145</v>
      </c>
      <c r="AR15" s="13">
        <f t="shared" si="25"/>
        <v>2</v>
      </c>
      <c r="AS15" s="13">
        <f t="shared" si="26"/>
        <v>2.13169347213589</v>
      </c>
    </row>
    <row r="16" ht="19.5" spans="1:45">
      <c r="A16" s="2"/>
      <c r="B16" s="1" t="s">
        <v>75</v>
      </c>
      <c r="C16" s="1" t="s">
        <v>76</v>
      </c>
      <c r="D16" s="1">
        <v>72</v>
      </c>
      <c r="I16" s="1">
        <v>13</v>
      </c>
      <c r="J16" s="13">
        <f t="shared" si="27"/>
        <v>71.1067916146868</v>
      </c>
      <c r="K16" s="13">
        <f t="shared" si="0"/>
        <v>1</v>
      </c>
      <c r="L16" s="13">
        <f t="shared" si="1"/>
        <v>1.48353661905364</v>
      </c>
      <c r="M16" s="14">
        <v>1</v>
      </c>
      <c r="N16" s="13">
        <f t="shared" si="2"/>
        <v>0.0596952078039857</v>
      </c>
      <c r="O16" s="13">
        <f t="shared" si="3"/>
        <v>0.170502934559069</v>
      </c>
      <c r="P16" s="13">
        <f t="shared" si="28"/>
        <v>1.23019814236305</v>
      </c>
      <c r="Q16" s="13">
        <f t="shared" si="4"/>
        <v>1</v>
      </c>
      <c r="R16" s="13">
        <v>0.32</v>
      </c>
      <c r="S16" s="13">
        <v>0.415</v>
      </c>
      <c r="T16" s="13">
        <f t="shared" si="5"/>
        <v>274.276</v>
      </c>
      <c r="U16" s="13">
        <f t="shared" si="6"/>
        <v>274.276</v>
      </c>
      <c r="V16" s="13">
        <f t="shared" si="7"/>
        <v>0.937552572025218</v>
      </c>
      <c r="W16" s="13">
        <f t="shared" si="8"/>
        <v>0.960975459983674</v>
      </c>
      <c r="X16" s="13">
        <f t="shared" si="9"/>
        <v>1</v>
      </c>
      <c r="Y16" s="13">
        <f t="shared" si="10"/>
        <v>0.885376079562748</v>
      </c>
      <c r="Z16" s="13">
        <f t="shared" si="11"/>
        <v>191</v>
      </c>
      <c r="AA16" s="13">
        <f t="shared" si="12"/>
        <v>1</v>
      </c>
      <c r="AB16" s="13">
        <f t="shared" si="13"/>
        <v>0.128557521937308</v>
      </c>
      <c r="AC16" s="13">
        <v>1172</v>
      </c>
      <c r="AD16" s="13">
        <f t="shared" si="14"/>
        <v>0.899515056792516</v>
      </c>
      <c r="AE16" s="13">
        <f t="shared" si="15"/>
        <v>0.928658027277719</v>
      </c>
      <c r="AF16" s="13">
        <f t="shared" si="16"/>
        <v>1</v>
      </c>
      <c r="AG16" s="13">
        <f t="shared" si="17"/>
        <v>68.8058311002196</v>
      </c>
      <c r="AH16" s="13">
        <f t="shared" si="18"/>
        <v>51.7619297240304</v>
      </c>
      <c r="AI16" s="13">
        <f t="shared" si="29"/>
        <v>71.1067916146506</v>
      </c>
      <c r="AJ16" s="13">
        <f t="shared" si="30"/>
        <v>66.7138991080213</v>
      </c>
      <c r="AK16" s="13">
        <f t="shared" si="19"/>
        <v>71.1067916146506</v>
      </c>
      <c r="AL16" s="13">
        <f t="shared" si="20"/>
        <v>140.520542671151</v>
      </c>
      <c r="AM16" s="13">
        <f t="shared" si="21"/>
        <v>108.353189529562</v>
      </c>
      <c r="AN16" s="13">
        <f t="shared" si="31"/>
        <v>841.963503907596</v>
      </c>
      <c r="AO16" s="13">
        <f t="shared" si="22"/>
        <v>841.963503907596</v>
      </c>
      <c r="AP16" s="13">
        <f t="shared" si="23"/>
        <v>2.06688271844517</v>
      </c>
      <c r="AQ16" s="13">
        <f t="shared" si="24"/>
        <v>2.74745520477145</v>
      </c>
      <c r="AR16" s="13">
        <f t="shared" si="25"/>
        <v>2</v>
      </c>
      <c r="AS16" s="13">
        <f t="shared" si="26"/>
        <v>2.13169347213589</v>
      </c>
    </row>
    <row r="17" ht="19.5" spans="1:4">
      <c r="A17" s="2"/>
      <c r="B17" s="1" t="s">
        <v>77</v>
      </c>
      <c r="C17" s="1" t="s">
        <v>78</v>
      </c>
      <c r="D17" s="1">
        <v>2</v>
      </c>
    </row>
    <row r="18" ht="19.5" spans="1:41">
      <c r="A18" s="2"/>
      <c r="B18" s="1" t="s">
        <v>79</v>
      </c>
      <c r="C18" s="1" t="s">
        <v>80</v>
      </c>
      <c r="D18" s="1">
        <v>1</v>
      </c>
      <c r="AG18" s="15" t="s">
        <v>0</v>
      </c>
      <c r="AH18" s="15"/>
      <c r="AI18" s="15"/>
      <c r="AJ18" s="15"/>
      <c r="AK18" s="15"/>
      <c r="AL18" s="15"/>
      <c r="AM18" s="15"/>
      <c r="AN18" s="15"/>
      <c r="AO18" s="15"/>
    </row>
    <row r="19" spans="1:41">
      <c r="A19" s="2"/>
      <c r="B19" s="1" t="s">
        <v>81</v>
      </c>
      <c r="C19" s="1" t="s">
        <v>82</v>
      </c>
      <c r="AG19" s="16" t="s">
        <v>3</v>
      </c>
      <c r="AH19" s="16"/>
      <c r="AI19" s="16" t="s">
        <v>4</v>
      </c>
      <c r="AJ19" s="16"/>
      <c r="AK19" s="16" t="s">
        <v>5</v>
      </c>
      <c r="AL19" s="15"/>
      <c r="AM19" s="15"/>
      <c r="AN19" s="15"/>
      <c r="AO19" s="15"/>
    </row>
    <row r="20" ht="20.25" spans="1:41">
      <c r="A20" s="2"/>
      <c r="B20" s="1" t="s">
        <v>83</v>
      </c>
      <c r="C20" s="1" t="s">
        <v>84</v>
      </c>
      <c r="I20" s="11" t="s">
        <v>10</v>
      </c>
      <c r="J20" s="11" t="s">
        <v>11</v>
      </c>
      <c r="K20" s="11" t="s">
        <v>12</v>
      </c>
      <c r="L20" s="11" t="s">
        <v>13</v>
      </c>
      <c r="M20" s="11" t="s">
        <v>14</v>
      </c>
      <c r="N20" s="11" t="s">
        <v>15</v>
      </c>
      <c r="O20" s="11" t="s">
        <v>16</v>
      </c>
      <c r="P20" s="11" t="s">
        <v>17</v>
      </c>
      <c r="Q20" s="11" t="s">
        <v>18</v>
      </c>
      <c r="R20" s="11" t="s">
        <v>19</v>
      </c>
      <c r="S20" s="11" t="s">
        <v>20</v>
      </c>
      <c r="T20" s="11" t="s">
        <v>21</v>
      </c>
      <c r="U20" s="11" t="s">
        <v>22</v>
      </c>
      <c r="V20" s="11" t="s">
        <v>23</v>
      </c>
      <c r="W20" s="11" t="s">
        <v>24</v>
      </c>
      <c r="X20" s="11" t="s">
        <v>25</v>
      </c>
      <c r="Y20" s="11" t="s">
        <v>26</v>
      </c>
      <c r="Z20" s="11" t="s">
        <v>27</v>
      </c>
      <c r="AA20" s="11" t="s">
        <v>28</v>
      </c>
      <c r="AB20" s="11" t="s">
        <v>29</v>
      </c>
      <c r="AC20" s="11" t="s">
        <v>30</v>
      </c>
      <c r="AD20" s="11" t="s">
        <v>31</v>
      </c>
      <c r="AE20" s="11" t="s">
        <v>32</v>
      </c>
      <c r="AF20" s="11" t="s">
        <v>33</v>
      </c>
      <c r="AG20" s="11" t="s">
        <v>34</v>
      </c>
      <c r="AH20" s="11" t="s">
        <v>35</v>
      </c>
      <c r="AI20" s="11" t="s">
        <v>36</v>
      </c>
      <c r="AJ20" s="11" t="s">
        <v>37</v>
      </c>
      <c r="AK20" s="11" t="s">
        <v>38</v>
      </c>
      <c r="AL20" s="4"/>
      <c r="AM20" s="4"/>
      <c r="AN20" s="4"/>
      <c r="AO20" s="4"/>
    </row>
    <row r="21" spans="1:37">
      <c r="A21" s="2"/>
      <c r="B21" s="1" t="s">
        <v>85</v>
      </c>
      <c r="C21" s="1" t="s">
        <v>86</v>
      </c>
      <c r="I21" s="1">
        <v>1</v>
      </c>
      <c r="J21" s="13">
        <f>$C$26</f>
        <v>79.7964534011807</v>
      </c>
      <c r="K21" s="13">
        <f t="shared" ref="K21:K38" si="32">$D$13</f>
        <v>1</v>
      </c>
      <c r="L21" s="13">
        <f t="shared" ref="L21:L38" si="33">$D$37</f>
        <v>1.48353661905364</v>
      </c>
      <c r="M21" s="14">
        <v>1</v>
      </c>
      <c r="N21" s="13">
        <f t="shared" ref="N21:N38" si="34">IF($J21&lt;=25,$J21/10/$D$29-0.025,IF($J21&lt;=425,$J21/10/$D$29-0.0375+0.000492*$J21,IF($J21&lt;=1000,$J21/10/$D$29-0.1109+0.000815*$J21-0.000000353*$J21^2)))</f>
        <v>0.0715730251531541</v>
      </c>
      <c r="O21" s="13">
        <f t="shared" ref="O21:O38" si="35">$D$47+$D$48*$J21/25.4+$D$49*($J21/25.4)^2</f>
        <v>0.175719290717417</v>
      </c>
      <c r="P21" s="13">
        <f t="shared" ref="P21:P38" si="36">1+$D$43*($N21*$D$46+$O21*$D$50)</f>
        <v>1.24729231587057</v>
      </c>
      <c r="Q21" s="13">
        <f t="shared" ref="Q21:Q38" si="37">$D$18</f>
        <v>1</v>
      </c>
      <c r="R21" s="13">
        <v>0.32</v>
      </c>
      <c r="S21" s="13">
        <v>0.415</v>
      </c>
      <c r="T21" s="13">
        <f t="shared" ref="T21:T38" si="38">0.594*$D$11+87.76</f>
        <v>274.276</v>
      </c>
      <c r="U21" s="13">
        <f t="shared" ref="U21:U38" si="39">0.594*$D$12+87.76</f>
        <v>274.276</v>
      </c>
      <c r="V21" s="13">
        <f t="shared" ref="V21:V38" si="40">$D$39</f>
        <v>0.937552572025218</v>
      </c>
      <c r="W21" s="13">
        <f t="shared" ref="W21:W38" si="41">$D$40</f>
        <v>0.960975459983674</v>
      </c>
      <c r="X21" s="13">
        <f t="shared" ref="X21:X38" si="42">$D$54</f>
        <v>1</v>
      </c>
      <c r="Y21" s="13">
        <f t="shared" ref="Y21:Y38" si="43">$D$38</f>
        <v>0.885376079562748</v>
      </c>
      <c r="Z21" s="13">
        <f t="shared" ref="Z21:Z38" si="44">$D$51</f>
        <v>191</v>
      </c>
      <c r="AA21" s="13">
        <f t="shared" ref="AA21:AA38" si="45">$D$55</f>
        <v>1</v>
      </c>
      <c r="AB21" s="13">
        <f t="shared" ref="AB21:AB38" si="46">$D$53</f>
        <v>0.128557521937308</v>
      </c>
      <c r="AC21" s="13">
        <v>1172</v>
      </c>
      <c r="AD21" s="13">
        <f t="shared" ref="AD21:AD38" si="47">$D$41</f>
        <v>0.899515056792516</v>
      </c>
      <c r="AE21" s="13">
        <f t="shared" ref="AE21:AE38" si="48">$D$42</f>
        <v>0.928658027277719</v>
      </c>
      <c r="AF21" s="13">
        <f t="shared" ref="AF21:AF38" si="49">$D$56</f>
        <v>1</v>
      </c>
      <c r="AG21" s="13">
        <f>$D$17*$D$32*$K21*$L21*$M21*$P21*$Q21*$X21*$Y21/$C$25/$R21/$T21/$V21</f>
        <v>69.7619200217138</v>
      </c>
      <c r="AH21" s="13">
        <f>$D$17*$D$32*$K21*$L21*$M21*$P21*$Q21*$X21*$Y21/$C$25/$S21/$U21/$W21</f>
        <v>52.4811857343564</v>
      </c>
      <c r="AI21" s="13">
        <f>($Z21*$X21*$Y21/$AC21/$AD21/$AF21)^2*$D$17*$D$32*$K21*$L21*$M21*$P21*$AA21/$D$29/$AB21</f>
        <v>72.0948534492172</v>
      </c>
      <c r="AJ21" s="13">
        <f>($Z21*$X21*$Y21/$AC21/$AE21/$AF21)^2*$D$17*$D$32*$K21*$L21*$M21*$P21*$AA21/$D$29/$AB21</f>
        <v>67.6409196646651</v>
      </c>
      <c r="AK21" s="13">
        <f t="shared" ref="AK21:AK38" si="50">MAX($AG21,$AH21,$AI21,$AJ21)</f>
        <v>72.0948534492172</v>
      </c>
    </row>
    <row r="22" spans="1:37">
      <c r="A22" s="2"/>
      <c r="B22" s="1" t="s">
        <v>87</v>
      </c>
      <c r="C22" s="1" t="s">
        <v>88</v>
      </c>
      <c r="I22" s="1">
        <v>2</v>
      </c>
      <c r="J22" s="13">
        <f t="shared" ref="J22:J38" si="51">$AK21</f>
        <v>72.0948534492172</v>
      </c>
      <c r="K22" s="13">
        <f t="shared" si="32"/>
        <v>1</v>
      </c>
      <c r="L22" s="13">
        <f t="shared" si="33"/>
        <v>1.48353661905364</v>
      </c>
      <c r="M22" s="14">
        <v>1</v>
      </c>
      <c r="N22" s="13">
        <f t="shared" si="34"/>
        <v>0.0610457802760326</v>
      </c>
      <c r="O22" s="13">
        <f t="shared" si="35"/>
        <v>0.17109715957609</v>
      </c>
      <c r="P22" s="13">
        <f t="shared" si="36"/>
        <v>1.23214293985212</v>
      </c>
      <c r="Q22" s="13">
        <f t="shared" si="37"/>
        <v>1</v>
      </c>
      <c r="R22" s="13">
        <v>0.32</v>
      </c>
      <c r="S22" s="13">
        <v>0.415</v>
      </c>
      <c r="T22" s="13">
        <f t="shared" si="38"/>
        <v>274.276</v>
      </c>
      <c r="U22" s="13">
        <f t="shared" si="39"/>
        <v>274.276</v>
      </c>
      <c r="V22" s="13">
        <f t="shared" si="40"/>
        <v>0.937552572025218</v>
      </c>
      <c r="W22" s="13">
        <f t="shared" si="41"/>
        <v>0.960975459983674</v>
      </c>
      <c r="X22" s="13">
        <f t="shared" si="42"/>
        <v>1</v>
      </c>
      <c r="Y22" s="13">
        <f t="shared" si="43"/>
        <v>0.885376079562748</v>
      </c>
      <c r="Z22" s="13">
        <f t="shared" si="44"/>
        <v>191</v>
      </c>
      <c r="AA22" s="13">
        <f t="shared" si="45"/>
        <v>1</v>
      </c>
      <c r="AB22" s="13">
        <f t="shared" si="46"/>
        <v>0.128557521937308</v>
      </c>
      <c r="AC22" s="13">
        <v>1172</v>
      </c>
      <c r="AD22" s="13">
        <f t="shared" si="47"/>
        <v>0.899515056792516</v>
      </c>
      <c r="AE22" s="13">
        <f t="shared" si="48"/>
        <v>0.928658027277719</v>
      </c>
      <c r="AF22" s="13">
        <f t="shared" si="49"/>
        <v>1</v>
      </c>
      <c r="AG22" s="13">
        <f t="shared" ref="AG22:AG33" si="52">$AG$21/$P$21*$P22</f>
        <v>68.9146049659483</v>
      </c>
      <c r="AH22" s="13">
        <f t="shared" ref="AH22:AH33" si="53">$AH$21/$P$21*$P22</f>
        <v>51.8437592013236</v>
      </c>
      <c r="AI22" s="13">
        <f t="shared" ref="AI22:AI33" si="54">$AI$21/$P$21*$P22</f>
        <v>71.2192030262971</v>
      </c>
      <c r="AJ22" s="13">
        <f t="shared" ref="AJ22:AJ33" si="55">$AJ$21/$P$21*$P22</f>
        <v>66.8193658771566</v>
      </c>
      <c r="AK22" s="13">
        <f t="shared" si="50"/>
        <v>71.2192030262971</v>
      </c>
    </row>
    <row r="23" spans="1:37">
      <c r="A23" s="2"/>
      <c r="B23" s="1" t="s">
        <v>89</v>
      </c>
      <c r="C23" s="1" t="s">
        <v>90</v>
      </c>
      <c r="I23" s="1">
        <v>3</v>
      </c>
      <c r="J23" s="13">
        <f t="shared" si="51"/>
        <v>71.2192030262971</v>
      </c>
      <c r="K23" s="13">
        <f t="shared" si="32"/>
        <v>1</v>
      </c>
      <c r="L23" s="13">
        <f t="shared" si="33"/>
        <v>1.48353661905364</v>
      </c>
      <c r="M23" s="14">
        <v>1</v>
      </c>
      <c r="N23" s="13">
        <f t="shared" si="34"/>
        <v>0.0598488619101954</v>
      </c>
      <c r="O23" s="13">
        <f t="shared" si="35"/>
        <v>0.170570553497894</v>
      </c>
      <c r="P23" s="13">
        <f t="shared" si="36"/>
        <v>1.23041941540809</v>
      </c>
      <c r="Q23" s="13">
        <f t="shared" si="37"/>
        <v>1</v>
      </c>
      <c r="R23" s="13">
        <v>0.32</v>
      </c>
      <c r="S23" s="13">
        <v>0.415</v>
      </c>
      <c r="T23" s="13">
        <f t="shared" si="38"/>
        <v>274.276</v>
      </c>
      <c r="U23" s="13">
        <f t="shared" si="39"/>
        <v>274.276</v>
      </c>
      <c r="V23" s="13">
        <f t="shared" si="40"/>
        <v>0.937552572025218</v>
      </c>
      <c r="W23" s="13">
        <f t="shared" si="41"/>
        <v>0.960975459983674</v>
      </c>
      <c r="X23" s="13">
        <f t="shared" si="42"/>
        <v>1</v>
      </c>
      <c r="Y23" s="13">
        <f t="shared" si="43"/>
        <v>0.885376079562748</v>
      </c>
      <c r="Z23" s="13">
        <f t="shared" si="44"/>
        <v>191</v>
      </c>
      <c r="AA23" s="13">
        <f t="shared" si="45"/>
        <v>1</v>
      </c>
      <c r="AB23" s="13">
        <f t="shared" si="46"/>
        <v>0.128557521937308</v>
      </c>
      <c r="AC23" s="13">
        <v>1172</v>
      </c>
      <c r="AD23" s="13">
        <f t="shared" si="47"/>
        <v>0.899515056792516</v>
      </c>
      <c r="AE23" s="13">
        <f t="shared" si="48"/>
        <v>0.928658027277719</v>
      </c>
      <c r="AF23" s="13">
        <f t="shared" si="49"/>
        <v>1</v>
      </c>
      <c r="AG23" s="13">
        <f t="shared" si="52"/>
        <v>68.8182070543358</v>
      </c>
      <c r="AH23" s="13">
        <f t="shared" si="53"/>
        <v>51.7712400289419</v>
      </c>
      <c r="AI23" s="13">
        <f t="shared" si="54"/>
        <v>71.1195814374941</v>
      </c>
      <c r="AJ23" s="13">
        <f t="shared" si="55"/>
        <v>66.7258987909126</v>
      </c>
      <c r="AK23" s="13">
        <f t="shared" si="50"/>
        <v>71.1195814374941</v>
      </c>
    </row>
    <row r="24" spans="9:37">
      <c r="I24" s="1">
        <v>4</v>
      </c>
      <c r="J24" s="13">
        <f t="shared" si="51"/>
        <v>71.1195814374941</v>
      </c>
      <c r="K24" s="13">
        <f t="shared" si="32"/>
        <v>1</v>
      </c>
      <c r="L24" s="13">
        <f t="shared" si="33"/>
        <v>1.48353661905364</v>
      </c>
      <c r="M24" s="14">
        <v>1</v>
      </c>
      <c r="N24" s="13">
        <f t="shared" si="34"/>
        <v>0.0597126900930512</v>
      </c>
      <c r="O24" s="13">
        <f t="shared" si="35"/>
        <v>0.170510628216501</v>
      </c>
      <c r="P24" s="13">
        <f t="shared" si="36"/>
        <v>1.23022331830955</v>
      </c>
      <c r="Q24" s="13">
        <f t="shared" si="37"/>
        <v>1</v>
      </c>
      <c r="R24" s="13">
        <v>0.32</v>
      </c>
      <c r="S24" s="13">
        <v>0.415</v>
      </c>
      <c r="T24" s="13">
        <f t="shared" si="38"/>
        <v>274.276</v>
      </c>
      <c r="U24" s="13">
        <f t="shared" si="39"/>
        <v>274.276</v>
      </c>
      <c r="V24" s="13">
        <f t="shared" si="40"/>
        <v>0.937552572025218</v>
      </c>
      <c r="W24" s="13">
        <f t="shared" si="41"/>
        <v>0.960975459983674</v>
      </c>
      <c r="X24" s="13">
        <f t="shared" si="42"/>
        <v>1</v>
      </c>
      <c r="Y24" s="13">
        <f t="shared" si="43"/>
        <v>0.885376079562748</v>
      </c>
      <c r="Z24" s="13">
        <f t="shared" si="44"/>
        <v>191</v>
      </c>
      <c r="AA24" s="13">
        <f t="shared" si="45"/>
        <v>1</v>
      </c>
      <c r="AB24" s="13">
        <f t="shared" si="46"/>
        <v>0.128557521937308</v>
      </c>
      <c r="AC24" s="13">
        <v>1172</v>
      </c>
      <c r="AD24" s="13">
        <f t="shared" si="47"/>
        <v>0.899515056792516</v>
      </c>
      <c r="AE24" s="13">
        <f t="shared" si="48"/>
        <v>0.928658027277719</v>
      </c>
      <c r="AF24" s="13">
        <f t="shared" si="49"/>
        <v>1</v>
      </c>
      <c r="AG24" s="13">
        <f t="shared" si="52"/>
        <v>68.8072392082819</v>
      </c>
      <c r="AH24" s="13">
        <f t="shared" si="53"/>
        <v>51.7629890294613</v>
      </c>
      <c r="AI24" s="13">
        <f t="shared" si="54"/>
        <v>71.1082468117604</v>
      </c>
      <c r="AJ24" s="13">
        <f t="shared" si="55"/>
        <v>66.7152644047949</v>
      </c>
      <c r="AK24" s="13">
        <f t="shared" si="50"/>
        <v>71.1082468117604</v>
      </c>
    </row>
    <row r="25" spans="1:37">
      <c r="A25" s="5" t="s">
        <v>91</v>
      </c>
      <c r="C25" s="1">
        <v>6.35</v>
      </c>
      <c r="D25" s="1" t="s">
        <v>92</v>
      </c>
      <c r="E25" s="11" t="s">
        <v>93</v>
      </c>
      <c r="F25" s="11"/>
      <c r="G25" s="11"/>
      <c r="I25" s="1">
        <v>5</v>
      </c>
      <c r="J25" s="13">
        <f t="shared" si="51"/>
        <v>71.1082468117604</v>
      </c>
      <c r="K25" s="13">
        <f t="shared" si="32"/>
        <v>1</v>
      </c>
      <c r="L25" s="13">
        <f t="shared" si="33"/>
        <v>1.48353661905364</v>
      </c>
      <c r="M25" s="14">
        <v>1</v>
      </c>
      <c r="N25" s="13">
        <f t="shared" si="34"/>
        <v>0.059697196899243</v>
      </c>
      <c r="O25" s="13">
        <f t="shared" si="35"/>
        <v>0.170503809928365</v>
      </c>
      <c r="P25" s="13">
        <f t="shared" si="36"/>
        <v>1.23020100682761</v>
      </c>
      <c r="Q25" s="13">
        <f t="shared" si="37"/>
        <v>1</v>
      </c>
      <c r="R25" s="13">
        <v>0.32</v>
      </c>
      <c r="S25" s="13">
        <v>0.415</v>
      </c>
      <c r="T25" s="13">
        <f t="shared" si="38"/>
        <v>274.276</v>
      </c>
      <c r="U25" s="13">
        <f t="shared" si="39"/>
        <v>274.276</v>
      </c>
      <c r="V25" s="13">
        <f t="shared" si="40"/>
        <v>0.937552572025218</v>
      </c>
      <c r="W25" s="13">
        <f t="shared" si="41"/>
        <v>0.960975459983674</v>
      </c>
      <c r="X25" s="13">
        <f t="shared" si="42"/>
        <v>1</v>
      </c>
      <c r="Y25" s="13">
        <f t="shared" si="43"/>
        <v>0.885376079562748</v>
      </c>
      <c r="Z25" s="13">
        <f t="shared" si="44"/>
        <v>191</v>
      </c>
      <c r="AA25" s="13">
        <f t="shared" si="45"/>
        <v>1</v>
      </c>
      <c r="AB25" s="13">
        <f t="shared" si="46"/>
        <v>0.128557521937308</v>
      </c>
      <c r="AC25" s="13">
        <v>1172</v>
      </c>
      <c r="AD25" s="13">
        <f t="shared" si="47"/>
        <v>0.899515056792516</v>
      </c>
      <c r="AE25" s="13">
        <f t="shared" si="48"/>
        <v>0.928658027277719</v>
      </c>
      <c r="AF25" s="13">
        <f t="shared" si="49"/>
        <v>1</v>
      </c>
      <c r="AG25" s="13">
        <f t="shared" si="52"/>
        <v>68.805991311699</v>
      </c>
      <c r="AH25" s="13">
        <f t="shared" si="53"/>
        <v>51.7620502495033</v>
      </c>
      <c r="AI25" s="13">
        <f t="shared" si="54"/>
        <v>71.1069571838196</v>
      </c>
      <c r="AJ25" s="13">
        <f t="shared" si="55"/>
        <v>66.7140544485251</v>
      </c>
      <c r="AK25" s="13">
        <f t="shared" si="50"/>
        <v>71.1069571838196</v>
      </c>
    </row>
    <row r="26" ht="19.5" spans="1:37">
      <c r="A26" s="5" t="s">
        <v>94</v>
      </c>
      <c r="C26" s="1">
        <f>4*PI()*$C$25</f>
        <v>79.7964534011807</v>
      </c>
      <c r="D26" s="1" t="s">
        <v>92</v>
      </c>
      <c r="E26" s="1">
        <f>3*PI()*$C$25</f>
        <v>59.8473400508856</v>
      </c>
      <c r="F26" s="12" t="s">
        <v>95</v>
      </c>
      <c r="G26" s="1">
        <f>5*PI()*$C$25</f>
        <v>99.7455667514759</v>
      </c>
      <c r="I26" s="1">
        <v>6</v>
      </c>
      <c r="J26" s="13">
        <f t="shared" si="51"/>
        <v>71.1069571838196</v>
      </c>
      <c r="K26" s="13">
        <f t="shared" si="32"/>
        <v>1</v>
      </c>
      <c r="L26" s="13">
        <f t="shared" si="33"/>
        <v>1.48353661905364</v>
      </c>
      <c r="M26" s="14">
        <v>1</v>
      </c>
      <c r="N26" s="13">
        <f t="shared" si="34"/>
        <v>0.0596954341188833</v>
      </c>
      <c r="O26" s="13">
        <f t="shared" si="35"/>
        <v>0.170503034156699</v>
      </c>
      <c r="P26" s="13">
        <f t="shared" si="36"/>
        <v>1.23019846827558</v>
      </c>
      <c r="Q26" s="13">
        <f t="shared" si="37"/>
        <v>1</v>
      </c>
      <c r="R26" s="13">
        <v>0.32</v>
      </c>
      <c r="S26" s="13">
        <v>0.415</v>
      </c>
      <c r="T26" s="13">
        <f t="shared" si="38"/>
        <v>274.276</v>
      </c>
      <c r="U26" s="13">
        <f t="shared" si="39"/>
        <v>274.276</v>
      </c>
      <c r="V26" s="13">
        <f t="shared" si="40"/>
        <v>0.937552572025218</v>
      </c>
      <c r="W26" s="13">
        <f t="shared" si="41"/>
        <v>0.960975459983674</v>
      </c>
      <c r="X26" s="13">
        <f t="shared" si="42"/>
        <v>1</v>
      </c>
      <c r="Y26" s="13">
        <f t="shared" si="43"/>
        <v>0.885376079562748</v>
      </c>
      <c r="Z26" s="13">
        <f t="shared" si="44"/>
        <v>191</v>
      </c>
      <c r="AA26" s="13">
        <f t="shared" si="45"/>
        <v>1</v>
      </c>
      <c r="AB26" s="13">
        <f t="shared" si="46"/>
        <v>0.128557521937308</v>
      </c>
      <c r="AC26" s="13">
        <v>1172</v>
      </c>
      <c r="AD26" s="13">
        <f t="shared" si="47"/>
        <v>0.899515056792516</v>
      </c>
      <c r="AE26" s="13">
        <f t="shared" si="48"/>
        <v>0.928658027277719</v>
      </c>
      <c r="AF26" s="13">
        <f t="shared" si="49"/>
        <v>1</v>
      </c>
      <c r="AG26" s="13">
        <f t="shared" si="52"/>
        <v>68.8058493287322</v>
      </c>
      <c r="AH26" s="13">
        <f t="shared" si="53"/>
        <v>51.7619434371558</v>
      </c>
      <c r="AI26" s="13">
        <f t="shared" si="54"/>
        <v>71.1068104527494</v>
      </c>
      <c r="AJ26" s="13">
        <f t="shared" si="55"/>
        <v>66.7139167823249</v>
      </c>
      <c r="AK26" s="13">
        <f t="shared" si="50"/>
        <v>71.1068104527494</v>
      </c>
    </row>
    <row r="27" spans="9:37">
      <c r="I27" s="1">
        <v>7</v>
      </c>
      <c r="J27" s="13">
        <f t="shared" si="51"/>
        <v>71.1068104527494</v>
      </c>
      <c r="K27" s="13">
        <f t="shared" si="32"/>
        <v>1</v>
      </c>
      <c r="L27" s="13">
        <f t="shared" si="33"/>
        <v>1.48353661905364</v>
      </c>
      <c r="M27" s="14">
        <v>1</v>
      </c>
      <c r="N27" s="13">
        <f t="shared" si="34"/>
        <v>0.0596952335535571</v>
      </c>
      <c r="O27" s="13">
        <f t="shared" si="35"/>
        <v>0.170502945891051</v>
      </c>
      <c r="P27" s="13">
        <f t="shared" si="36"/>
        <v>1.23019817944461</v>
      </c>
      <c r="Q27" s="13">
        <f t="shared" si="37"/>
        <v>1</v>
      </c>
      <c r="R27" s="13">
        <v>0.32</v>
      </c>
      <c r="S27" s="13">
        <v>0.415</v>
      </c>
      <c r="T27" s="13">
        <f t="shared" si="38"/>
        <v>274.276</v>
      </c>
      <c r="U27" s="13">
        <f t="shared" si="39"/>
        <v>274.276</v>
      </c>
      <c r="V27" s="13">
        <f t="shared" si="40"/>
        <v>0.937552572025218</v>
      </c>
      <c r="W27" s="13">
        <f t="shared" si="41"/>
        <v>0.960975459983674</v>
      </c>
      <c r="X27" s="13">
        <f t="shared" si="42"/>
        <v>1</v>
      </c>
      <c r="Y27" s="13">
        <f t="shared" si="43"/>
        <v>0.885376079562748</v>
      </c>
      <c r="Z27" s="13">
        <f t="shared" si="44"/>
        <v>191</v>
      </c>
      <c r="AA27" s="13">
        <f t="shared" si="45"/>
        <v>1</v>
      </c>
      <c r="AB27" s="13">
        <f t="shared" si="46"/>
        <v>0.128557521937308</v>
      </c>
      <c r="AC27" s="13">
        <v>1172</v>
      </c>
      <c r="AD27" s="13">
        <f t="shared" si="47"/>
        <v>0.899515056792516</v>
      </c>
      <c r="AE27" s="13">
        <f t="shared" si="48"/>
        <v>0.928658027277719</v>
      </c>
      <c r="AF27" s="13">
        <f t="shared" si="49"/>
        <v>1</v>
      </c>
      <c r="AG27" s="13">
        <f t="shared" si="52"/>
        <v>68.8058331742165</v>
      </c>
      <c r="AH27" s="13">
        <f t="shared" si="53"/>
        <v>51.7619312842772</v>
      </c>
      <c r="AI27" s="13">
        <f t="shared" si="54"/>
        <v>71.1067937580048</v>
      </c>
      <c r="AJ27" s="13">
        <f t="shared" si="55"/>
        <v>66.7139011189616</v>
      </c>
      <c r="AK27" s="13">
        <f t="shared" si="50"/>
        <v>71.1067937580048</v>
      </c>
    </row>
    <row r="28" spans="1:37">
      <c r="A28" s="5" t="s">
        <v>96</v>
      </c>
      <c r="I28" s="1">
        <v>8</v>
      </c>
      <c r="J28" s="13">
        <f t="shared" si="51"/>
        <v>71.1067937580048</v>
      </c>
      <c r="K28" s="13">
        <f t="shared" si="32"/>
        <v>1</v>
      </c>
      <c r="L28" s="13">
        <f t="shared" si="33"/>
        <v>1.48353661905364</v>
      </c>
      <c r="M28" s="14">
        <v>1</v>
      </c>
      <c r="N28" s="13">
        <f t="shared" si="34"/>
        <v>0.0596952107336669</v>
      </c>
      <c r="O28" s="13">
        <f t="shared" si="35"/>
        <v>0.170502935848376</v>
      </c>
      <c r="P28" s="13">
        <f t="shared" si="36"/>
        <v>1.23019814658204</v>
      </c>
      <c r="Q28" s="13">
        <f t="shared" si="37"/>
        <v>1</v>
      </c>
      <c r="R28" s="13">
        <v>0.32</v>
      </c>
      <c r="S28" s="13">
        <v>0.415</v>
      </c>
      <c r="T28" s="13">
        <f t="shared" si="38"/>
        <v>274.276</v>
      </c>
      <c r="U28" s="13">
        <f t="shared" si="39"/>
        <v>274.276</v>
      </c>
      <c r="V28" s="13">
        <f t="shared" si="40"/>
        <v>0.937552572025218</v>
      </c>
      <c r="W28" s="13">
        <f t="shared" si="41"/>
        <v>0.960975459983674</v>
      </c>
      <c r="X28" s="13">
        <f t="shared" si="42"/>
        <v>1</v>
      </c>
      <c r="Y28" s="13">
        <f t="shared" si="43"/>
        <v>0.885376079562748</v>
      </c>
      <c r="Z28" s="13">
        <f t="shared" si="44"/>
        <v>191</v>
      </c>
      <c r="AA28" s="13">
        <f t="shared" si="45"/>
        <v>1</v>
      </c>
      <c r="AB28" s="13">
        <f t="shared" si="46"/>
        <v>0.128557521937308</v>
      </c>
      <c r="AC28" s="13">
        <v>1172</v>
      </c>
      <c r="AD28" s="13">
        <f t="shared" si="47"/>
        <v>0.899515056792516</v>
      </c>
      <c r="AE28" s="13">
        <f t="shared" si="48"/>
        <v>0.928658027277719</v>
      </c>
      <c r="AF28" s="13">
        <f t="shared" si="49"/>
        <v>1</v>
      </c>
      <c r="AG28" s="13">
        <f t="shared" si="52"/>
        <v>68.8058313361906</v>
      </c>
      <c r="AH28" s="13">
        <f t="shared" si="53"/>
        <v>51.7619299015489</v>
      </c>
      <c r="AI28" s="13">
        <f t="shared" si="54"/>
        <v>71.1067918585127</v>
      </c>
      <c r="AJ28" s="13">
        <f t="shared" si="55"/>
        <v>66.7138993368179</v>
      </c>
      <c r="AK28" s="13">
        <f t="shared" si="50"/>
        <v>71.1067918585127</v>
      </c>
    </row>
    <row r="29" ht="19.5" spans="2:37">
      <c r="B29" s="1" t="s">
        <v>97</v>
      </c>
      <c r="C29" s="1" t="s">
        <v>98</v>
      </c>
      <c r="D29" s="1">
        <f>$D$15*$C$25</f>
        <v>114.3</v>
      </c>
      <c r="E29" s="1" t="s">
        <v>92</v>
      </c>
      <c r="F29" s="1">
        <f>$D$29/1000</f>
        <v>0.1143</v>
      </c>
      <c r="G29" s="1" t="s">
        <v>99</v>
      </c>
      <c r="I29" s="1">
        <v>9</v>
      </c>
      <c r="J29" s="13">
        <f t="shared" si="51"/>
        <v>71.1067918585127</v>
      </c>
      <c r="K29" s="13">
        <f t="shared" si="32"/>
        <v>1</v>
      </c>
      <c r="L29" s="13">
        <f t="shared" si="33"/>
        <v>1.48353661905364</v>
      </c>
      <c r="M29" s="14">
        <v>1</v>
      </c>
      <c r="N29" s="13">
        <f t="shared" si="34"/>
        <v>0.059695208137269</v>
      </c>
      <c r="O29" s="13">
        <f t="shared" si="35"/>
        <v>0.170502934705742</v>
      </c>
      <c r="P29" s="13">
        <f t="shared" si="36"/>
        <v>1.23019814284301</v>
      </c>
      <c r="Q29" s="13">
        <f t="shared" si="37"/>
        <v>1</v>
      </c>
      <c r="R29" s="13">
        <v>0.32</v>
      </c>
      <c r="S29" s="13">
        <v>0.415</v>
      </c>
      <c r="T29" s="13">
        <f t="shared" si="38"/>
        <v>274.276</v>
      </c>
      <c r="U29" s="13">
        <f t="shared" si="39"/>
        <v>274.276</v>
      </c>
      <c r="V29" s="13">
        <f t="shared" si="40"/>
        <v>0.937552572025218</v>
      </c>
      <c r="W29" s="13">
        <f t="shared" si="41"/>
        <v>0.960975459983674</v>
      </c>
      <c r="X29" s="13">
        <f t="shared" si="42"/>
        <v>1</v>
      </c>
      <c r="Y29" s="13">
        <f t="shared" si="43"/>
        <v>0.885376079562748</v>
      </c>
      <c r="Z29" s="13">
        <f t="shared" si="44"/>
        <v>191</v>
      </c>
      <c r="AA29" s="13">
        <f t="shared" si="45"/>
        <v>1</v>
      </c>
      <c r="AB29" s="13">
        <f t="shared" si="46"/>
        <v>0.128557521937308</v>
      </c>
      <c r="AC29" s="13">
        <v>1172</v>
      </c>
      <c r="AD29" s="13">
        <f t="shared" si="47"/>
        <v>0.899515056792516</v>
      </c>
      <c r="AE29" s="13">
        <f t="shared" si="48"/>
        <v>0.928658027277719</v>
      </c>
      <c r="AF29" s="13">
        <f t="shared" si="49"/>
        <v>1</v>
      </c>
      <c r="AG29" s="13">
        <f t="shared" si="52"/>
        <v>68.8058311270639</v>
      </c>
      <c r="AH29" s="13">
        <f t="shared" si="53"/>
        <v>51.7619297442251</v>
      </c>
      <c r="AI29" s="13">
        <f t="shared" si="54"/>
        <v>71.1067916423926</v>
      </c>
      <c r="AJ29" s="13">
        <f t="shared" si="55"/>
        <v>66.7138991340494</v>
      </c>
      <c r="AK29" s="13">
        <f t="shared" si="50"/>
        <v>71.1067916423926</v>
      </c>
    </row>
    <row r="30" ht="19.5" spans="2:37">
      <c r="B30" s="1" t="s">
        <v>100</v>
      </c>
      <c r="C30" s="1" t="s">
        <v>101</v>
      </c>
      <c r="D30" s="1">
        <f>$D$16*$C$25</f>
        <v>457.2</v>
      </c>
      <c r="E30" s="1" t="s">
        <v>92</v>
      </c>
      <c r="F30" s="1">
        <f>$D$30/1000</f>
        <v>0.4572</v>
      </c>
      <c r="G30" s="1" t="s">
        <v>99</v>
      </c>
      <c r="I30" s="1">
        <v>10</v>
      </c>
      <c r="J30" s="13">
        <f t="shared" si="51"/>
        <v>71.1067916423926</v>
      </c>
      <c r="K30" s="13">
        <f t="shared" si="32"/>
        <v>1</v>
      </c>
      <c r="L30" s="13">
        <f t="shared" si="33"/>
        <v>1.48353661905364</v>
      </c>
      <c r="M30" s="14">
        <v>1</v>
      </c>
      <c r="N30" s="13">
        <f t="shared" si="34"/>
        <v>0.0596952078418564</v>
      </c>
      <c r="O30" s="13">
        <f t="shared" si="35"/>
        <v>0.170502934575735</v>
      </c>
      <c r="P30" s="13">
        <f t="shared" si="36"/>
        <v>1.23019814241759</v>
      </c>
      <c r="Q30" s="13">
        <f t="shared" si="37"/>
        <v>1</v>
      </c>
      <c r="R30" s="13">
        <v>0.32</v>
      </c>
      <c r="S30" s="13">
        <v>0.415</v>
      </c>
      <c r="T30" s="13">
        <f t="shared" si="38"/>
        <v>274.276</v>
      </c>
      <c r="U30" s="13">
        <f t="shared" si="39"/>
        <v>274.276</v>
      </c>
      <c r="V30" s="13">
        <f t="shared" si="40"/>
        <v>0.937552572025218</v>
      </c>
      <c r="W30" s="13">
        <f t="shared" si="41"/>
        <v>0.960975459983674</v>
      </c>
      <c r="X30" s="13">
        <f t="shared" si="42"/>
        <v>1</v>
      </c>
      <c r="Y30" s="13">
        <f t="shared" si="43"/>
        <v>0.885376079562748</v>
      </c>
      <c r="Z30" s="13">
        <f t="shared" si="44"/>
        <v>191</v>
      </c>
      <c r="AA30" s="13">
        <f t="shared" si="45"/>
        <v>1</v>
      </c>
      <c r="AB30" s="13">
        <f t="shared" si="46"/>
        <v>0.128557521937308</v>
      </c>
      <c r="AC30" s="13">
        <v>1172</v>
      </c>
      <c r="AD30" s="13">
        <f t="shared" si="47"/>
        <v>0.899515056792516</v>
      </c>
      <c r="AE30" s="13">
        <f t="shared" si="48"/>
        <v>0.928658027277719</v>
      </c>
      <c r="AF30" s="13">
        <f t="shared" si="49"/>
        <v>1</v>
      </c>
      <c r="AG30" s="13">
        <f t="shared" si="52"/>
        <v>68.8058311032699</v>
      </c>
      <c r="AH30" s="13">
        <f t="shared" si="53"/>
        <v>51.7619297263251</v>
      </c>
      <c r="AI30" s="13">
        <f t="shared" si="54"/>
        <v>71.1067916178029</v>
      </c>
      <c r="AJ30" s="13">
        <f t="shared" si="55"/>
        <v>66.7138991109789</v>
      </c>
      <c r="AK30" s="13">
        <f t="shared" si="50"/>
        <v>71.1067916178029</v>
      </c>
    </row>
    <row r="31" spans="2:37">
      <c r="B31" s="1" t="s">
        <v>102</v>
      </c>
      <c r="C31" s="1" t="s">
        <v>103</v>
      </c>
      <c r="D31" s="1">
        <f>PI()*$F$29*$D$4</f>
        <v>6.70290208569919</v>
      </c>
      <c r="E31" s="1" t="s">
        <v>104</v>
      </c>
      <c r="F31" s="1">
        <f>60/0.3048*$D$31</f>
        <v>1319.46891450772</v>
      </c>
      <c r="G31" s="1" t="s">
        <v>105</v>
      </c>
      <c r="I31" s="1">
        <v>11</v>
      </c>
      <c r="J31" s="13">
        <f t="shared" si="51"/>
        <v>71.1067916178029</v>
      </c>
      <c r="K31" s="13">
        <f t="shared" si="32"/>
        <v>1</v>
      </c>
      <c r="L31" s="13">
        <f t="shared" si="33"/>
        <v>1.48353661905364</v>
      </c>
      <c r="M31" s="14">
        <v>1</v>
      </c>
      <c r="N31" s="13">
        <f t="shared" si="34"/>
        <v>0.059695207808245</v>
      </c>
      <c r="O31" s="13">
        <f t="shared" si="35"/>
        <v>0.170502934560943</v>
      </c>
      <c r="P31" s="13">
        <f t="shared" si="36"/>
        <v>1.23019814236919</v>
      </c>
      <c r="Q31" s="13">
        <f t="shared" si="37"/>
        <v>1</v>
      </c>
      <c r="R31" s="13">
        <v>0.32</v>
      </c>
      <c r="S31" s="13">
        <v>0.415</v>
      </c>
      <c r="T31" s="13">
        <f t="shared" si="38"/>
        <v>274.276</v>
      </c>
      <c r="U31" s="13">
        <f t="shared" si="39"/>
        <v>274.276</v>
      </c>
      <c r="V31" s="13">
        <f t="shared" si="40"/>
        <v>0.937552572025218</v>
      </c>
      <c r="W31" s="13">
        <f t="shared" si="41"/>
        <v>0.960975459983674</v>
      </c>
      <c r="X31" s="13">
        <f t="shared" si="42"/>
        <v>1</v>
      </c>
      <c r="Y31" s="13">
        <f t="shared" si="43"/>
        <v>0.885376079562748</v>
      </c>
      <c r="Z31" s="13">
        <f t="shared" si="44"/>
        <v>191</v>
      </c>
      <c r="AA31" s="13">
        <f t="shared" si="45"/>
        <v>1</v>
      </c>
      <c r="AB31" s="13">
        <f t="shared" si="46"/>
        <v>0.128557521937308</v>
      </c>
      <c r="AC31" s="13">
        <v>1172</v>
      </c>
      <c r="AD31" s="13">
        <f t="shared" si="47"/>
        <v>0.899515056792516</v>
      </c>
      <c r="AE31" s="13">
        <f t="shared" si="48"/>
        <v>0.928658027277719</v>
      </c>
      <c r="AF31" s="13">
        <f t="shared" si="49"/>
        <v>1</v>
      </c>
      <c r="AG31" s="13">
        <f t="shared" si="52"/>
        <v>68.8058311005627</v>
      </c>
      <c r="AH31" s="13">
        <f t="shared" si="53"/>
        <v>51.7619297242885</v>
      </c>
      <c r="AI31" s="13">
        <f t="shared" si="54"/>
        <v>71.1067916150051</v>
      </c>
      <c r="AJ31" s="13">
        <f t="shared" si="55"/>
        <v>66.713899108354</v>
      </c>
      <c r="AK31" s="13">
        <f t="shared" si="50"/>
        <v>71.1067916150051</v>
      </c>
    </row>
    <row r="32" ht="19.5" spans="2:37">
      <c r="B32" s="1" t="s">
        <v>106</v>
      </c>
      <c r="C32" s="1" t="s">
        <v>107</v>
      </c>
      <c r="D32" s="1">
        <f>$D$3/$D$31</f>
        <v>11125.0319707186</v>
      </c>
      <c r="E32" s="1" t="s">
        <v>108</v>
      </c>
      <c r="I32" s="1">
        <v>12</v>
      </c>
      <c r="J32" s="13">
        <f t="shared" si="51"/>
        <v>71.1067916150051</v>
      </c>
      <c r="K32" s="13">
        <f t="shared" si="32"/>
        <v>1</v>
      </c>
      <c r="L32" s="13">
        <f t="shared" si="33"/>
        <v>1.48353661905364</v>
      </c>
      <c r="M32" s="14">
        <v>1</v>
      </c>
      <c r="N32" s="13">
        <f t="shared" si="34"/>
        <v>0.0596952078044208</v>
      </c>
      <c r="O32" s="13">
        <f t="shared" si="35"/>
        <v>0.17050293455926</v>
      </c>
      <c r="P32" s="13">
        <f t="shared" si="36"/>
        <v>1.23019814236368</v>
      </c>
      <c r="Q32" s="13">
        <f t="shared" si="37"/>
        <v>1</v>
      </c>
      <c r="R32" s="13">
        <v>0.32</v>
      </c>
      <c r="S32" s="13">
        <v>0.415</v>
      </c>
      <c r="T32" s="13">
        <f t="shared" si="38"/>
        <v>274.276</v>
      </c>
      <c r="U32" s="13">
        <f t="shared" si="39"/>
        <v>274.276</v>
      </c>
      <c r="V32" s="13">
        <f t="shared" si="40"/>
        <v>0.937552572025218</v>
      </c>
      <c r="W32" s="13">
        <f t="shared" si="41"/>
        <v>0.960975459983674</v>
      </c>
      <c r="X32" s="13">
        <f t="shared" si="42"/>
        <v>1</v>
      </c>
      <c r="Y32" s="13">
        <f t="shared" si="43"/>
        <v>0.885376079562748</v>
      </c>
      <c r="Z32" s="13">
        <f t="shared" si="44"/>
        <v>191</v>
      </c>
      <c r="AA32" s="13">
        <f t="shared" si="45"/>
        <v>1</v>
      </c>
      <c r="AB32" s="13">
        <f t="shared" si="46"/>
        <v>0.128557521937308</v>
      </c>
      <c r="AC32" s="13">
        <v>1172</v>
      </c>
      <c r="AD32" s="13">
        <f t="shared" si="47"/>
        <v>0.899515056792516</v>
      </c>
      <c r="AE32" s="13">
        <f t="shared" si="48"/>
        <v>0.928658027277719</v>
      </c>
      <c r="AF32" s="13">
        <f t="shared" si="49"/>
        <v>1</v>
      </c>
      <c r="AG32" s="13">
        <f t="shared" si="52"/>
        <v>68.8058311002547</v>
      </c>
      <c r="AH32" s="13">
        <f t="shared" si="53"/>
        <v>51.7619297240567</v>
      </c>
      <c r="AI32" s="13">
        <f t="shared" si="54"/>
        <v>71.1067916146868</v>
      </c>
      <c r="AJ32" s="13">
        <f t="shared" si="55"/>
        <v>66.7138991080553</v>
      </c>
      <c r="AK32" s="13">
        <f t="shared" si="50"/>
        <v>71.1067916146868</v>
      </c>
    </row>
    <row r="33" spans="9:37">
      <c r="I33" s="1">
        <v>13</v>
      </c>
      <c r="J33" s="13">
        <f t="shared" si="51"/>
        <v>71.1067916146868</v>
      </c>
      <c r="K33" s="13">
        <f t="shared" si="32"/>
        <v>1</v>
      </c>
      <c r="L33" s="13">
        <f t="shared" si="33"/>
        <v>1.48353661905364</v>
      </c>
      <c r="M33" s="14">
        <v>1</v>
      </c>
      <c r="N33" s="13">
        <f t="shared" si="34"/>
        <v>0.0596952078039857</v>
      </c>
      <c r="O33" s="13">
        <f t="shared" si="35"/>
        <v>0.170502934559069</v>
      </c>
      <c r="P33" s="13">
        <f t="shared" si="36"/>
        <v>1.23019814236305</v>
      </c>
      <c r="Q33" s="13">
        <f t="shared" si="37"/>
        <v>1</v>
      </c>
      <c r="R33" s="13">
        <v>0.32</v>
      </c>
      <c r="S33" s="13">
        <v>0.415</v>
      </c>
      <c r="T33" s="13">
        <f t="shared" si="38"/>
        <v>274.276</v>
      </c>
      <c r="U33" s="13">
        <f t="shared" si="39"/>
        <v>274.276</v>
      </c>
      <c r="V33" s="13">
        <f t="shared" si="40"/>
        <v>0.937552572025218</v>
      </c>
      <c r="W33" s="13">
        <f t="shared" si="41"/>
        <v>0.960975459983674</v>
      </c>
      <c r="X33" s="13">
        <f t="shared" si="42"/>
        <v>1</v>
      </c>
      <c r="Y33" s="13">
        <f t="shared" si="43"/>
        <v>0.885376079562748</v>
      </c>
      <c r="Z33" s="13">
        <f t="shared" si="44"/>
        <v>191</v>
      </c>
      <c r="AA33" s="13">
        <f t="shared" si="45"/>
        <v>1</v>
      </c>
      <c r="AB33" s="13">
        <f t="shared" si="46"/>
        <v>0.128557521937308</v>
      </c>
      <c r="AC33" s="13">
        <v>1172</v>
      </c>
      <c r="AD33" s="13">
        <f t="shared" si="47"/>
        <v>0.899515056792516</v>
      </c>
      <c r="AE33" s="13">
        <f t="shared" si="48"/>
        <v>0.928658027277719</v>
      </c>
      <c r="AF33" s="13">
        <f t="shared" si="49"/>
        <v>1</v>
      </c>
      <c r="AG33" s="13">
        <f t="shared" si="52"/>
        <v>68.8058311002196</v>
      </c>
      <c r="AH33" s="13">
        <f t="shared" si="53"/>
        <v>51.7619297240304</v>
      </c>
      <c r="AI33" s="13">
        <f t="shared" si="54"/>
        <v>71.1067916146506</v>
      </c>
      <c r="AJ33" s="13">
        <f t="shared" si="55"/>
        <v>66.7138991080213</v>
      </c>
      <c r="AK33" s="13">
        <f t="shared" si="50"/>
        <v>71.1067916146506</v>
      </c>
    </row>
    <row r="34" spans="1:26">
      <c r="A34" s="5" t="s">
        <v>109</v>
      </c>
      <c r="M34" s="1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3"/>
    </row>
    <row r="35" ht="19.5" spans="2:26">
      <c r="B35" s="1" t="s">
        <v>110</v>
      </c>
      <c r="C35" s="6" t="s">
        <v>111</v>
      </c>
      <c r="D35" s="7">
        <f>50+56*(1-$D$36)</f>
        <v>59.7730185154752</v>
      </c>
      <c r="M35" s="1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3"/>
    </row>
    <row r="36" ht="19.5" spans="3:26">
      <c r="C36" s="6" t="s">
        <v>112</v>
      </c>
      <c r="D36" s="8">
        <f>0.25*(12-$D$6)^(2/3)</f>
        <v>0.825481812223657</v>
      </c>
      <c r="M36" s="1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"/>
    </row>
    <row r="37" ht="19.5" spans="3:26">
      <c r="C37" s="1" t="s">
        <v>113</v>
      </c>
      <c r="D37" s="1">
        <f>(($D$35+SQRT(200*$D$31))/$D$35)^$D$36</f>
        <v>1.48353661905364</v>
      </c>
      <c r="M37" s="1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"/>
    </row>
    <row r="38" ht="19.5" spans="2:26">
      <c r="B38" s="1" t="s">
        <v>114</v>
      </c>
      <c r="C38" s="1" t="s">
        <v>115</v>
      </c>
      <c r="D38" s="1">
        <f>0.658-0.0759*LN(1-$D$7)</f>
        <v>0.885376079562748</v>
      </c>
      <c r="M38" s="1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"/>
    </row>
    <row r="39" ht="19.5" spans="2:4">
      <c r="B39" s="1" t="s">
        <v>116</v>
      </c>
      <c r="C39" s="1" t="s">
        <v>117</v>
      </c>
      <c r="D39" s="1">
        <f>1.3558*$D$9^(-0.0178)</f>
        <v>0.937552572025218</v>
      </c>
    </row>
    <row r="40" ht="19.5" spans="3:4">
      <c r="C40" s="1" t="s">
        <v>118</v>
      </c>
      <c r="D40" s="1">
        <f>1.3558*($D$9/$D$8)^(-0.0178)</f>
        <v>0.960975459983674</v>
      </c>
    </row>
    <row r="41" ht="19.5" spans="2:4">
      <c r="B41" s="9" t="s">
        <v>119</v>
      </c>
      <c r="C41" s="1" t="s">
        <v>120</v>
      </c>
      <c r="D41" s="1">
        <f>1.4488*$D$9^(-0.023)</f>
        <v>0.899515056792516</v>
      </c>
    </row>
    <row r="42" ht="19.5" spans="2:4">
      <c r="B42" s="9"/>
      <c r="C42" s="1" t="s">
        <v>121</v>
      </c>
      <c r="D42" s="1">
        <f>1.4488*($D$9/$D$8)^(-0.023)</f>
        <v>0.928658027277719</v>
      </c>
    </row>
    <row r="43" ht="19.5" spans="2:4">
      <c r="B43" s="9" t="s">
        <v>122</v>
      </c>
      <c r="C43" s="1" t="s">
        <v>123</v>
      </c>
      <c r="D43" s="1">
        <f>IF($C$19="sem coroamento",1,0.8)</f>
        <v>1</v>
      </c>
    </row>
    <row r="44" ht="19.5" spans="2:4">
      <c r="B44" s="9"/>
      <c r="C44" s="1" t="s">
        <v>124</v>
      </c>
      <c r="D44" s="1">
        <v>0</v>
      </c>
    </row>
    <row r="45" spans="2:4">
      <c r="B45" s="9"/>
      <c r="C45" s="1" t="s">
        <v>125</v>
      </c>
      <c r="D45" s="1">
        <v>1</v>
      </c>
    </row>
    <row r="46" ht="19.5" spans="2:4">
      <c r="B46" s="9"/>
      <c r="C46" s="1" t="s">
        <v>126</v>
      </c>
      <c r="D46" s="1">
        <f>IF($D$44/$D$45&lt;0.175,1,1.1)</f>
        <v>1</v>
      </c>
    </row>
    <row r="47" ht="19.5" spans="2:4">
      <c r="B47" s="9"/>
      <c r="C47" s="1" t="s">
        <v>127</v>
      </c>
      <c r="D47" s="1">
        <v>0.127</v>
      </c>
    </row>
    <row r="48" ht="19.5" spans="2:4">
      <c r="B48" s="9"/>
      <c r="C48" s="1" t="s">
        <v>128</v>
      </c>
      <c r="D48" s="1">
        <v>0.0158</v>
      </c>
    </row>
    <row r="49" ht="19.5" spans="2:4">
      <c r="B49" s="9"/>
      <c r="C49" s="1" t="s">
        <v>129</v>
      </c>
      <c r="D49" s="10">
        <v>-9.3e-5</v>
      </c>
    </row>
    <row r="50" ht="19.5" spans="2:4">
      <c r="B50" s="9"/>
      <c r="C50" s="1" t="s">
        <v>130</v>
      </c>
      <c r="D50" s="1">
        <f>IF($C$21="sem correção",1,0.8)</f>
        <v>1</v>
      </c>
    </row>
    <row r="51" ht="19.5" spans="2:4">
      <c r="B51" s="1" t="s">
        <v>131</v>
      </c>
      <c r="C51" s="1" t="s">
        <v>132</v>
      </c>
      <c r="D51" s="1">
        <v>191</v>
      </c>
    </row>
    <row r="52" ht="19.5" spans="2:4">
      <c r="B52" s="9" t="s">
        <v>133</v>
      </c>
      <c r="C52" s="1" t="s">
        <v>134</v>
      </c>
      <c r="D52" s="1">
        <v>1</v>
      </c>
    </row>
    <row r="53" ht="19.5" spans="2:4">
      <c r="B53" s="9"/>
      <c r="C53" s="1" t="s">
        <v>135</v>
      </c>
      <c r="D53" s="1">
        <f>SIN(2*$D$5*PI()/180)/4/$D$52*$D$8/($D$8+1)</f>
        <v>0.128557521937308</v>
      </c>
    </row>
    <row r="54" ht="20.25" spans="2:4">
      <c r="B54" s="1" t="s">
        <v>136</v>
      </c>
      <c r="C54" s="1" t="s">
        <v>137</v>
      </c>
      <c r="D54" s="1">
        <v>1</v>
      </c>
    </row>
    <row r="55" ht="19.5" spans="2:4">
      <c r="B55" s="1" t="s">
        <v>138</v>
      </c>
      <c r="C55" s="1" t="s">
        <v>139</v>
      </c>
      <c r="D55" s="1">
        <v>1</v>
      </c>
    </row>
    <row r="56" ht="19.5" spans="2:4">
      <c r="B56" s="1" t="s">
        <v>140</v>
      </c>
      <c r="C56" s="1" t="s">
        <v>141</v>
      </c>
      <c r="D56" s="1">
        <v>1</v>
      </c>
    </row>
  </sheetData>
  <mergeCells count="23">
    <mergeCell ref="AG1:AK1"/>
    <mergeCell ref="AL1:AO1"/>
    <mergeCell ref="AP1:AS1"/>
    <mergeCell ref="AG2:AH2"/>
    <mergeCell ref="AI2:AJ2"/>
    <mergeCell ref="AL2:AM2"/>
    <mergeCell ref="AN2:AO2"/>
    <mergeCell ref="AP2:AQ2"/>
    <mergeCell ref="AR2:AS2"/>
    <mergeCell ref="AG18:AK18"/>
    <mergeCell ref="AL18:AO18"/>
    <mergeCell ref="AG19:AH19"/>
    <mergeCell ref="AI19:AJ19"/>
    <mergeCell ref="AL19:AM19"/>
    <mergeCell ref="AN19:AO19"/>
    <mergeCell ref="E25:G25"/>
    <mergeCell ref="A3:A13"/>
    <mergeCell ref="A15:A23"/>
    <mergeCell ref="B35:B37"/>
    <mergeCell ref="B39:B40"/>
    <mergeCell ref="B41:B42"/>
    <mergeCell ref="B43:B50"/>
    <mergeCell ref="B52:B53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</dc:creator>
  <cp:lastModifiedBy>adriano</cp:lastModifiedBy>
  <dcterms:created xsi:type="dcterms:W3CDTF">2019-06-10T10:58:00Z</dcterms:created>
  <dcterms:modified xsi:type="dcterms:W3CDTF">2019-06-11T20:19:10Z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1046-11.1.0.8392</vt:lpwstr>
  </property>
</Properties>
</file>