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14760" windowHeight="8475" tabRatio="500" activeTab="3"/>
  </bookViews>
  <sheets>
    <sheet name="Motor" sheetId="1" r:id="rId1"/>
    <sheet name="Escalonamento" sheetId="2" r:id="rId2"/>
    <sheet name="Torque na roda" sheetId="3" r:id="rId3"/>
    <sheet name="Resistências ao Movimento" sheetId="4" r:id="rId4"/>
  </sheets>
  <definedNames>
    <definedName name="i_1">Escalonamento!$C$4</definedName>
    <definedName name="i_2">Escalonamento!$C$5</definedName>
    <definedName name="i_3">Escalonamento!$C$6</definedName>
    <definedName name="i_4">Escalonamento!$C$7</definedName>
    <definedName name="i_5">Escalonamento!$C$8</definedName>
    <definedName name="i_6">Escalonamento!$C$9</definedName>
    <definedName name="i_pri">Escalonamento!$C$3</definedName>
    <definedName name="N_c">Escalonamento!$C$12</definedName>
    <definedName name="n_max">Escalonamento!$C$17</definedName>
    <definedName name="n_min">Escalonamento!$C$16</definedName>
    <definedName name="N_p">Escalonamento!$C$11</definedName>
    <definedName name="R_r">Escalonamento!$C$14</definedName>
    <definedName name="W_carro">Escalonamento!$C$19</definedName>
    <definedName name="eta_m">'Resistências ao Movimento'!$D$2</definedName>
    <definedName name="alfa">'Resistências ao Movimento'!$D$4</definedName>
    <definedName name="G">'Resistências ao Movimento'!$D$5</definedName>
    <definedName name="massa">'Resistências ao Movimento'!$D$8</definedName>
    <definedName name="p_atm">'Resistências ao Movimento'!$D$20</definedName>
    <definedName name="temp">'Resistências ao Movimento'!$D$21</definedName>
    <definedName name="ro">'Resistências ao Movimento'!$D$22</definedName>
    <definedName name="Cd">'Resistências ao Movimento'!$D$24</definedName>
    <definedName name="a">'Resistências ao Movimento'!$D$16</definedName>
    <definedName name="b">'Resistências ao Movimento'!$D$17</definedName>
    <definedName name="A_front">'Resistências ao Movimento'!$D$23</definedName>
  </definedNames>
  <calcPr calcId="144525"/>
</workbook>
</file>

<file path=xl/sharedStrings.xml><?xml version="1.0" encoding="utf-8"?>
<sst xmlns="http://schemas.openxmlformats.org/spreadsheetml/2006/main" count="106">
  <si>
    <t>n</t>
  </si>
  <si>
    <t>T</t>
  </si>
  <si>
    <t>P</t>
  </si>
  <si>
    <t>Pcalc</t>
  </si>
  <si>
    <t>erro</t>
  </si>
  <si>
    <t>rpm</t>
  </si>
  <si>
    <t>Nm</t>
  </si>
  <si>
    <t>W</t>
  </si>
  <si>
    <t>%</t>
  </si>
  <si>
    <t>velocidade</t>
  </si>
  <si>
    <t>rotação em cada marcha</t>
  </si>
  <si>
    <t>Relações</t>
  </si>
  <si>
    <t>Símbolo</t>
  </si>
  <si>
    <t>Unidades</t>
  </si>
  <si>
    <t>km/h</t>
  </si>
  <si>
    <t>n_min</t>
  </si>
  <si>
    <t>n_max</t>
  </si>
  <si>
    <t>primário</t>
  </si>
  <si>
    <t>i_pri</t>
  </si>
  <si>
    <t>i_1</t>
  </si>
  <si>
    <t>i_2</t>
  </si>
  <si>
    <t>i_3</t>
  </si>
  <si>
    <t>i_4</t>
  </si>
  <si>
    <t>i_5</t>
  </si>
  <si>
    <t>i_6</t>
  </si>
  <si>
    <t>Número de dentes</t>
  </si>
  <si>
    <t>pinhão</t>
  </si>
  <si>
    <t>N_p</t>
  </si>
  <si>
    <t>coroa</t>
  </si>
  <si>
    <t>N_c</t>
  </si>
  <si>
    <t>Raio da Roda</t>
  </si>
  <si>
    <t>R_r</t>
  </si>
  <si>
    <t>mm</t>
  </si>
  <si>
    <t>rotação mínima</t>
  </si>
  <si>
    <t>rotação máxima</t>
  </si>
  <si>
    <t>torque em cada marcha</t>
  </si>
  <si>
    <t>T_1</t>
  </si>
  <si>
    <t>T_2</t>
  </si>
  <si>
    <t>T_3</t>
  </si>
  <si>
    <t>T_4</t>
  </si>
  <si>
    <t>T_5</t>
  </si>
  <si>
    <t>T_6</t>
  </si>
  <si>
    <t>Resistências</t>
  </si>
  <si>
    <t>Mecânica</t>
  </si>
  <si>
    <t>rendimento mecânico</t>
  </si>
  <si>
    <t>eta_m</t>
  </si>
  <si>
    <t>Aclive</t>
  </si>
  <si>
    <t>aclive</t>
  </si>
  <si>
    <t>alfa</t>
  </si>
  <si>
    <t>grau</t>
  </si>
  <si>
    <t>peso</t>
  </si>
  <si>
    <t>G</t>
  </si>
  <si>
    <t>N</t>
  </si>
  <si>
    <t>resistência ao aclive</t>
  </si>
  <si>
    <t>Q_s</t>
  </si>
  <si>
    <t>Q_s=G*sen(alfa)</t>
  </si>
  <si>
    <t>Inércia</t>
  </si>
  <si>
    <t>massa</t>
  </si>
  <si>
    <t>kg</t>
  </si>
  <si>
    <t>aceleração</t>
  </si>
  <si>
    <t>acel</t>
  </si>
  <si>
    <t>m/s^2</t>
  </si>
  <si>
    <t>inércia equivalente</t>
  </si>
  <si>
    <t>delta</t>
  </si>
  <si>
    <t>delta=0,004+0,05*i_cj^2</t>
  </si>
  <si>
    <t>raio dinâmico</t>
  </si>
  <si>
    <t>r_d</t>
  </si>
  <si>
    <t>resistência de inércia</t>
  </si>
  <si>
    <t>Q_I</t>
  </si>
  <si>
    <t>Q_I=massa*acel*(1+delta)</t>
  </si>
  <si>
    <t>a</t>
  </si>
  <si>
    <t>b</t>
  </si>
  <si>
    <t>Rolamento</t>
  </si>
  <si>
    <t>coef. de atrito de rolamento</t>
  </si>
  <si>
    <t>f</t>
  </si>
  <si>
    <t>f=a+b*(v/100)^2</t>
  </si>
  <si>
    <t>pneus normais</t>
  </si>
  <si>
    <t>tipo de pneus</t>
  </si>
  <si>
    <t>pneus de alta histerese</t>
  </si>
  <si>
    <t>resistência ao rolamento</t>
  </si>
  <si>
    <t>Q_r</t>
  </si>
  <si>
    <t>Q_r=f*G*cos(alfa)</t>
  </si>
  <si>
    <t>Aerodinâmica</t>
  </si>
  <si>
    <t>pressão atmosférica</t>
  </si>
  <si>
    <t>p_atm</t>
  </si>
  <si>
    <t>mm Hg</t>
  </si>
  <si>
    <t>temperatura</t>
  </si>
  <si>
    <t>temp</t>
  </si>
  <si>
    <t>K</t>
  </si>
  <si>
    <t>C</t>
  </si>
  <si>
    <t>densidade do ar</t>
  </si>
  <si>
    <t>ro</t>
  </si>
  <si>
    <t xml:space="preserve">kg/m^3 </t>
  </si>
  <si>
    <t>área frontal</t>
  </si>
  <si>
    <t>A_front</t>
  </si>
  <si>
    <t>m^2</t>
  </si>
  <si>
    <t>coeficiente de arrasto</t>
  </si>
  <si>
    <t>Cd</t>
  </si>
  <si>
    <t>resistência aerodinâmica</t>
  </si>
  <si>
    <t>Q_a</t>
  </si>
  <si>
    <t>Q_a=1/2*ro*v^2*A_front*Cd</t>
  </si>
  <si>
    <t>velocidade (km/h)</t>
  </si>
  <si>
    <t>rolamento</t>
  </si>
  <si>
    <t>aerodinâmica</t>
  </si>
  <si>
    <t>Q_s+Q_r+Q_a</t>
  </si>
  <si>
    <t>vel</t>
  </si>
</sst>
</file>

<file path=xl/styles.xml><?xml version="1.0" encoding="utf-8"?>
<styleSheet xmlns="http://schemas.openxmlformats.org/spreadsheetml/2006/main">
  <numFmts count="6">
    <numFmt numFmtId="176" formatCode="_-&quot;R$&quot;* #,##0.00_-;\-&quot;R$&quot;* #,##0.00_-;_-&quot;R$&quot;* &quot;-&quot;??_-;_-@_-"/>
    <numFmt numFmtId="177" formatCode="0.0000_ "/>
    <numFmt numFmtId="178" formatCode="_-* #,##0.00_-;\-* #,##0.00_-;_-* &quot;-&quot;??_-;_-@_-"/>
    <numFmt numFmtId="179" formatCode="_-&quot;R$&quot;* #,##0_-;\-&quot;R$&quot;* #,##0_-;_-&quot;R$&quot;* &quot;-&quot;_-;_-@_-"/>
    <numFmt numFmtId="180" formatCode="_-* #,##0_-;\-* #,##0_-;_-* &quot;-&quot;_-;_-@_-"/>
    <numFmt numFmtId="181" formatCode="0_ "/>
  </numFmts>
  <fonts count="22">
    <font>
      <sz val="10"/>
      <name val="Arial"/>
      <charset val="1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0"/>
      <name val="Arial"/>
      <charset val="134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9" fontId="8" fillId="0" borderId="0" applyBorder="0" applyAlignment="0" applyProtection="0"/>
    <xf numFmtId="180" fontId="8" fillId="0" borderId="0" applyBorder="0" applyAlignment="0" applyProtection="0"/>
    <xf numFmtId="0" fontId="1" fillId="15" borderId="0" applyNumberFormat="0" applyBorder="0" applyAlignment="0" applyProtection="0">
      <alignment vertical="center"/>
    </xf>
    <xf numFmtId="9" fontId="8" fillId="0" borderId="0" applyBorder="0" applyAlignment="0" applyProtection="0"/>
    <xf numFmtId="0" fontId="7" fillId="0" borderId="14" applyNumberFormat="0" applyFill="0" applyAlignment="0" applyProtection="0">
      <alignment vertical="center"/>
    </xf>
    <xf numFmtId="0" fontId="4" fillId="6" borderId="12" applyNumberFormat="0" applyAlignment="0" applyProtection="0">
      <alignment vertical="center"/>
    </xf>
    <xf numFmtId="178" fontId="8" fillId="0" borderId="0" applyBorder="0" applyAlignment="0" applyProtection="0"/>
    <xf numFmtId="0" fontId="1" fillId="7" borderId="0" applyNumberFormat="0" applyBorder="0" applyAlignment="0" applyProtection="0">
      <alignment vertical="center"/>
    </xf>
    <xf numFmtId="176" fontId="8" fillId="0" borderId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2" fillId="14" borderId="16" applyNumberFormat="0" applyFon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10" borderId="13" applyNumberFormat="0" applyAlignment="0" applyProtection="0">
      <alignment vertical="center"/>
    </xf>
    <xf numFmtId="0" fontId="16" fillId="20" borderId="17" applyNumberFormat="0" applyAlignment="0" applyProtection="0">
      <alignment vertical="center"/>
    </xf>
    <xf numFmtId="0" fontId="14" fillId="20" borderId="13" applyNumberFormat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/>
    <xf numFmtId="181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  <xf numFmtId="177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0" fontId="0" fillId="0" borderId="0" xfId="0" applyNumberFormat="1" applyAlignment="1">
      <alignment horizontal="right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GB" sz="13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  <a:r>
              <a:rPr lang="en-GB" sz="1300" b="0" strike="noStrike" spc="-1">
                <a:latin typeface="Arial" panose="020B0604020202020204"/>
              </a:rPr>
              <a:t>Potência</a:t>
            </a:r>
            <a:endParaRPr lang="en-GB" sz="1300" b="0" strike="noStrike" spc="-1">
              <a:latin typeface="Arial" panose="020B0604020202020204"/>
            </a:endParaRP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P</c:v>
                </c:pt>
              </c:strCache>
            </c:strRef>
          </c:tx>
          <c:spPr>
            <a:ln w="28800" cap="rnd" cmpd="sng" algn="ctr">
              <a:solidFill>
                <a:srgbClr val="FF420E"/>
              </a:solidFill>
              <a:prstDash val="solid"/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Motor!$A$3:$A$13</c:f>
              <c:numCache>
                <c:formatCode>General</c:formatCode>
                <c:ptCount val="11"/>
                <c:pt idx="0">
                  <c:v>4000</c:v>
                </c:pt>
                <c:pt idx="1">
                  <c:v>5000</c:v>
                </c:pt>
                <c:pt idx="2">
                  <c:v>6000</c:v>
                </c:pt>
                <c:pt idx="3">
                  <c:v>7000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11000</c:v>
                </c:pt>
                <c:pt idx="8">
                  <c:v>12000</c:v>
                </c:pt>
                <c:pt idx="9">
                  <c:v>13000</c:v>
                </c:pt>
                <c:pt idx="10">
                  <c:v>14000</c:v>
                </c:pt>
              </c:numCache>
            </c:numRef>
          </c:xVal>
          <c:yVal>
            <c:numRef>
              <c:f>Motor!$C$3:$C$13</c:f>
              <c:numCache>
                <c:formatCode>General</c:formatCode>
                <c:ptCount val="11"/>
                <c:pt idx="0">
                  <c:v>14000</c:v>
                </c:pt>
                <c:pt idx="1">
                  <c:v>21000</c:v>
                </c:pt>
                <c:pt idx="2">
                  <c:v>30100</c:v>
                </c:pt>
                <c:pt idx="3">
                  <c:v>38500</c:v>
                </c:pt>
                <c:pt idx="4">
                  <c:v>44800</c:v>
                </c:pt>
                <c:pt idx="5">
                  <c:v>53200</c:v>
                </c:pt>
                <c:pt idx="6">
                  <c:v>57400</c:v>
                </c:pt>
                <c:pt idx="7">
                  <c:v>60900</c:v>
                </c:pt>
                <c:pt idx="8">
                  <c:v>63700</c:v>
                </c:pt>
                <c:pt idx="9">
                  <c:v>58100</c:v>
                </c:pt>
                <c:pt idx="10">
                  <c:v>51800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1"/>
        </c:dLbls>
        <c:axId val="22158140"/>
        <c:axId val="27414418"/>
      </c:scatterChart>
      <c:valAx>
        <c:axId val="221581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GB" sz="9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  <a:r>
                  <a:rPr lang="en-GB" sz="900" b="0" strike="noStrike" spc="-1">
                    <a:latin typeface="Arial" panose="020B0604020202020204"/>
                  </a:rPr>
                  <a:t>rpm</a:t>
                </a:r>
                <a:endParaRPr lang="en-GB" sz="900" b="0" strike="noStrike" spc="-1">
                  <a:latin typeface="Arial" panose="020B0604020202020204"/>
                </a:endParaRP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B3B3B3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GB" sz="10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</a:p>
        </c:txPr>
        <c:crossAx val="27414418"/>
        <c:crosses val="autoZero"/>
        <c:crossBetween val="midCat"/>
      </c:valAx>
      <c:valAx>
        <c:axId val="27414418"/>
        <c:scaling>
          <c:orientation val="minMax"/>
          <c:max val="70000"/>
        </c:scaling>
        <c:delete val="0"/>
        <c:axPos val="l"/>
        <c:majorGridlines>
          <c:spPr>
            <a:ln w="6350" cap="flat" cmpd="sng" algn="ctr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en-GB" sz="9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  <a:r>
                  <a:rPr lang="en-GB" sz="900" b="0" strike="noStrike" spc="-1">
                    <a:latin typeface="Arial" panose="020B0604020202020204"/>
                  </a:rPr>
                  <a:t>W</a:t>
                </a:r>
                <a:endParaRPr lang="en-GB" sz="900" b="0" strike="noStrike" spc="-1">
                  <a:latin typeface="Arial" panose="020B0604020202020204"/>
                </a:endParaRP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B3B3B3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GB" sz="10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</a:p>
        </c:txPr>
        <c:crossAx val="2215814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6350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GB" sz="13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  <a:r>
              <a:rPr lang="en-GB" sz="1300" b="0" strike="noStrike" spc="-1">
                <a:latin typeface="Arial" panose="020B0604020202020204"/>
              </a:rPr>
              <a:t>Torque</a:t>
            </a:r>
            <a:endParaRPr lang="en-GB" sz="1300" b="0" strike="noStrike" spc="-1">
              <a:latin typeface="Arial" panose="020B0604020202020204"/>
            </a:endParaRP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Motor!$B$1</c:f>
              <c:strCache>
                <c:ptCount val="1"/>
                <c:pt idx="0">
                  <c:v>T</c:v>
                </c:pt>
              </c:strCache>
            </c:strRef>
          </c:tx>
          <c:spPr>
            <a:ln w="28800" cap="rnd" cmpd="sng" algn="ctr">
              <a:solidFill>
                <a:srgbClr val="004586"/>
              </a:solidFill>
              <a:prstDash val="solid"/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Motor!$A$3:$A$13</c:f>
              <c:numCache>
                <c:formatCode>General</c:formatCode>
                <c:ptCount val="11"/>
                <c:pt idx="0">
                  <c:v>4000</c:v>
                </c:pt>
                <c:pt idx="1">
                  <c:v>5000</c:v>
                </c:pt>
                <c:pt idx="2">
                  <c:v>6000</c:v>
                </c:pt>
                <c:pt idx="3">
                  <c:v>7000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11000</c:v>
                </c:pt>
                <c:pt idx="8">
                  <c:v>12000</c:v>
                </c:pt>
                <c:pt idx="9">
                  <c:v>13000</c:v>
                </c:pt>
                <c:pt idx="10">
                  <c:v>14000</c:v>
                </c:pt>
              </c:numCache>
            </c:numRef>
          </c:xVal>
          <c:yVal>
            <c:numRef>
              <c:f>Motor!$B$3:$B$13</c:f>
              <c:numCache>
                <c:formatCode>General</c:formatCode>
                <c:ptCount val="11"/>
                <c:pt idx="0">
                  <c:v>33</c:v>
                </c:pt>
                <c:pt idx="1">
                  <c:v>40</c:v>
                </c:pt>
                <c:pt idx="2">
                  <c:v>49</c:v>
                </c:pt>
                <c:pt idx="3">
                  <c:v>52</c:v>
                </c:pt>
                <c:pt idx="4">
                  <c:v>53</c:v>
                </c:pt>
                <c:pt idx="5">
                  <c:v>56</c:v>
                </c:pt>
                <c:pt idx="6">
                  <c:v>55</c:v>
                </c:pt>
                <c:pt idx="7">
                  <c:v>53</c:v>
                </c:pt>
                <c:pt idx="8">
                  <c:v>50</c:v>
                </c:pt>
                <c:pt idx="9">
                  <c:v>43</c:v>
                </c:pt>
                <c:pt idx="10">
                  <c:v>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1"/>
        </c:dLbls>
        <c:axId val="82086159"/>
        <c:axId val="30508024"/>
      </c:scatterChart>
      <c:valAx>
        <c:axId val="8208615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GB" sz="9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  <a:r>
                  <a:rPr lang="en-GB" sz="900" b="0" strike="noStrike" spc="-1">
                    <a:latin typeface="Arial" panose="020B0604020202020204"/>
                  </a:rPr>
                  <a:t>rpm</a:t>
                </a:r>
                <a:endParaRPr lang="en-GB" sz="900" b="0" strike="noStrike" spc="-1">
                  <a:latin typeface="Arial" panose="020B0604020202020204"/>
                </a:endParaRP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B3B3B3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GB" sz="10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</a:p>
        </c:txPr>
        <c:crossAx val="30508024"/>
        <c:crosses val="autoZero"/>
        <c:crossBetween val="midCat"/>
      </c:valAx>
      <c:valAx>
        <c:axId val="305080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en-GB" sz="9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  <a:r>
                  <a:rPr lang="en-GB" sz="900" b="0" strike="noStrike" spc="-1">
                    <a:latin typeface="Arial" panose="020B0604020202020204"/>
                  </a:rPr>
                  <a:t>Nm</a:t>
                </a:r>
                <a:endParaRPr lang="en-GB" sz="900" b="0" strike="noStrike" spc="-1">
                  <a:latin typeface="Arial" panose="020B0604020202020204"/>
                </a:endParaRP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B3B3B3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GB" sz="10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</a:p>
        </c:txPr>
        <c:crossAx val="82086159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6350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GB" sz="13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  <a:r>
              <a:rPr lang="en-GB" sz="1300" b="0" strike="noStrike" spc="-1">
                <a:latin typeface="Arial" panose="020B0604020202020204"/>
              </a:rPr>
              <a:t>Escalonamento das marchas</a:t>
            </a:r>
            <a:endParaRPr lang="en-GB" sz="1300" b="0" strike="noStrike" spc="-1">
              <a:latin typeface="Arial" panose="020B0604020202020204"/>
            </a:endParaRP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Escalonamento!$F$2:$F$2</c:f>
              <c:strCache>
                <c:ptCount val="1"/>
                <c:pt idx="0">
                  <c:v>1</c:v>
                </c:pt>
              </c:strCache>
            </c:strRef>
          </c:tx>
          <c:spPr>
            <a:ln w="28800" cap="rnd" cmpd="sng" algn="ctr">
              <a:solidFill>
                <a:srgbClr val="004586"/>
              </a:solidFill>
              <a:prstDash val="solid"/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Escalonamento!$E$3:$E$22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Escalonamento!$F$3:$F$22</c:f>
              <c:numCache>
                <c:formatCode>0</c:formatCode>
                <c:ptCount val="20"/>
                <c:pt idx="0">
                  <c:v>1901.65325876379</c:v>
                </c:pt>
                <c:pt idx="1">
                  <c:v>3803.30651752758</c:v>
                </c:pt>
                <c:pt idx="2">
                  <c:v>5704.95977629137</c:v>
                </c:pt>
                <c:pt idx="3">
                  <c:v>7606.61303505515</c:v>
                </c:pt>
                <c:pt idx="4">
                  <c:v>9508.26629381894</c:v>
                </c:pt>
                <c:pt idx="5">
                  <c:v>11409.9195525827</c:v>
                </c:pt>
                <c:pt idx="6">
                  <c:v>13311.5728113465</c:v>
                </c:pt>
                <c:pt idx="7">
                  <c:v>15213.2260701103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Escalonamento!$G$2:$G$2</c:f>
              <c:strCache>
                <c:ptCount val="1"/>
                <c:pt idx="0">
                  <c:v>2</c:v>
                </c:pt>
              </c:strCache>
            </c:strRef>
          </c:tx>
          <c:spPr>
            <a:ln w="28800" cap="rnd" cmpd="sng" algn="ctr">
              <a:solidFill>
                <a:srgbClr val="FF420E"/>
              </a:solidFill>
              <a:prstDash val="solid"/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numFmt formatCode="0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Escalonamento!$E$3:$E$22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Escalonamento!$G$3:$G$22</c:f>
              <c:numCache>
                <c:formatCode>0</c:formatCode>
                <c:ptCount val="20"/>
                <c:pt idx="0">
                  <c:v>1384.1189620794</c:v>
                </c:pt>
                <c:pt idx="1">
                  <c:v>2768.23792415879</c:v>
                </c:pt>
                <c:pt idx="2">
                  <c:v>4152.35688623819</c:v>
                </c:pt>
                <c:pt idx="3">
                  <c:v>5536.47584831759</c:v>
                </c:pt>
                <c:pt idx="4">
                  <c:v>6920.59481039698</c:v>
                </c:pt>
                <c:pt idx="5">
                  <c:v>8304.71377247638</c:v>
                </c:pt>
                <c:pt idx="6">
                  <c:v>9688.83273455578</c:v>
                </c:pt>
                <c:pt idx="7">
                  <c:v>11072.9516966352</c:v>
                </c:pt>
                <c:pt idx="8">
                  <c:v>12457.0706587146</c:v>
                </c:pt>
                <c:pt idx="9">
                  <c:v>13841.189620794</c:v>
                </c:pt>
                <c:pt idx="10">
                  <c:v>15225.3085828734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Escalonamento!$H$2:$H$2</c:f>
              <c:strCache>
                <c:ptCount val="1"/>
                <c:pt idx="0">
                  <c:v>3</c:v>
                </c:pt>
              </c:strCache>
            </c:strRef>
          </c:tx>
          <c:spPr>
            <a:ln w="28800" cap="rnd" cmpd="sng" algn="ctr">
              <a:solidFill>
                <a:srgbClr val="FFD320"/>
              </a:solidFill>
              <a:prstDash val="solid"/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numFmt formatCode="0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Escalonamento!$E$3:$E$22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Escalonamento!$H$3:$H$22</c:f>
              <c:numCache>
                <c:formatCode>0</c:formatCode>
                <c:ptCount val="20"/>
                <c:pt idx="0">
                  <c:v>1105.54991781996</c:v>
                </c:pt>
                <c:pt idx="1">
                  <c:v>2211.09983563993</c:v>
                </c:pt>
                <c:pt idx="2">
                  <c:v>3316.64975345989</c:v>
                </c:pt>
                <c:pt idx="3">
                  <c:v>4422.19967127986</c:v>
                </c:pt>
                <c:pt idx="4">
                  <c:v>5527.74958909982</c:v>
                </c:pt>
                <c:pt idx="5">
                  <c:v>6633.29950691979</c:v>
                </c:pt>
                <c:pt idx="6">
                  <c:v>7738.84942473975</c:v>
                </c:pt>
                <c:pt idx="7">
                  <c:v>8844.39934255972</c:v>
                </c:pt>
                <c:pt idx="8">
                  <c:v>9949.94926037968</c:v>
                </c:pt>
                <c:pt idx="9">
                  <c:v>11055.4991781996</c:v>
                </c:pt>
                <c:pt idx="10">
                  <c:v>12161.0490960196</c:v>
                </c:pt>
                <c:pt idx="11">
                  <c:v>13266.5990138396</c:v>
                </c:pt>
                <c:pt idx="12">
                  <c:v>14372.1489316595</c:v>
                </c:pt>
                <c:pt idx="13">
                  <c:v>15477.6988494795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Escalonamento!$I$2:$I$2</c:f>
              <c:strCache>
                <c:ptCount val="1"/>
                <c:pt idx="0">
                  <c:v>4</c:v>
                </c:pt>
              </c:strCache>
            </c:strRef>
          </c:tx>
          <c:spPr>
            <a:ln w="28800" cap="rnd" cmpd="sng" algn="ctr">
              <a:solidFill>
                <a:srgbClr val="579D1C"/>
              </a:solidFill>
              <a:prstDash val="solid"/>
              <a:round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numFmt formatCode="0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Escalonamento!$E$3:$E$22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Escalonamento!$I$3:$I$22</c:f>
              <c:numCache>
                <c:formatCode>0</c:formatCode>
                <c:ptCount val="20"/>
                <c:pt idx="0">
                  <c:v>953.847257572659</c:v>
                </c:pt>
                <c:pt idx="1">
                  <c:v>1907.69451514532</c:v>
                </c:pt>
                <c:pt idx="2">
                  <c:v>2861.54177271798</c:v>
                </c:pt>
                <c:pt idx="3">
                  <c:v>3815.38903029064</c:v>
                </c:pt>
                <c:pt idx="4">
                  <c:v>4769.2362878633</c:v>
                </c:pt>
                <c:pt idx="5">
                  <c:v>5723.08354543596</c:v>
                </c:pt>
                <c:pt idx="6">
                  <c:v>6676.93080300862</c:v>
                </c:pt>
                <c:pt idx="7">
                  <c:v>7630.77806058127</c:v>
                </c:pt>
                <c:pt idx="8">
                  <c:v>8584.62531815393</c:v>
                </c:pt>
                <c:pt idx="9">
                  <c:v>9538.47257572659</c:v>
                </c:pt>
                <c:pt idx="10">
                  <c:v>10492.3198332993</c:v>
                </c:pt>
                <c:pt idx="11">
                  <c:v>11446.1670908719</c:v>
                </c:pt>
                <c:pt idx="12">
                  <c:v>12400.0143484446</c:v>
                </c:pt>
                <c:pt idx="13">
                  <c:v>13353.8616060172</c:v>
                </c:pt>
                <c:pt idx="14">
                  <c:v>14307.7088635899</c:v>
                </c:pt>
                <c:pt idx="15">
                  <c:v>15261.5561211625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Escalonamento!$J$2:$J$2</c:f>
              <c:strCache>
                <c:ptCount val="1"/>
                <c:pt idx="0">
                  <c:v>5</c:v>
                </c:pt>
              </c:strCache>
            </c:strRef>
          </c:tx>
          <c:spPr>
            <a:ln w="28800" cap="rnd" cmpd="sng" algn="ctr">
              <a:solidFill>
                <a:srgbClr val="7E0021"/>
              </a:solidFill>
              <a:prstDash val="solid"/>
              <a:round/>
            </a:ln>
          </c:spPr>
          <c:marker>
            <c:symbol val="triangle"/>
            <c:size val="8"/>
            <c:spPr>
              <a:solidFill>
                <a:srgbClr val="7E0021"/>
              </a:solidFill>
            </c:spPr>
          </c:marker>
          <c:dLbls>
            <c:numFmt formatCode="0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Escalonamento!$E$3:$E$22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Escalonamento!$J$3:$J$22</c:f>
              <c:numCache>
                <c:formatCode>0</c:formatCode>
                <c:ptCount val="20"/>
                <c:pt idx="0">
                  <c:v>853.830901922887</c:v>
                </c:pt>
                <c:pt idx="1">
                  <c:v>1707.66180384577</c:v>
                </c:pt>
                <c:pt idx="2">
                  <c:v>2561.49270576866</c:v>
                </c:pt>
                <c:pt idx="3">
                  <c:v>3415.32360769155</c:v>
                </c:pt>
                <c:pt idx="4">
                  <c:v>4269.15450961443</c:v>
                </c:pt>
                <c:pt idx="5">
                  <c:v>5122.98541153732</c:v>
                </c:pt>
                <c:pt idx="6">
                  <c:v>5976.81631346021</c:v>
                </c:pt>
                <c:pt idx="7">
                  <c:v>6830.6472153831</c:v>
                </c:pt>
                <c:pt idx="8">
                  <c:v>7684.47811730598</c:v>
                </c:pt>
                <c:pt idx="9">
                  <c:v>8538.30901922887</c:v>
                </c:pt>
                <c:pt idx="10">
                  <c:v>9392.13992115176</c:v>
                </c:pt>
                <c:pt idx="11">
                  <c:v>10245.9708230746</c:v>
                </c:pt>
                <c:pt idx="12">
                  <c:v>11099.8017249975</c:v>
                </c:pt>
                <c:pt idx="13">
                  <c:v>11953.6326269204</c:v>
                </c:pt>
                <c:pt idx="14">
                  <c:v>12807.4635288433</c:v>
                </c:pt>
                <c:pt idx="15">
                  <c:v>13661.2944307662</c:v>
                </c:pt>
                <c:pt idx="16">
                  <c:v>14515.1253326891</c:v>
                </c:pt>
                <c:pt idx="17">
                  <c:v>15368.956234612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Escalonamento!$K$2:$K$2</c:f>
              <c:strCache>
                <c:ptCount val="1"/>
                <c:pt idx="0">
                  <c:v>6</c:v>
                </c:pt>
              </c:strCache>
            </c:strRef>
          </c:tx>
          <c:spPr>
            <a:ln w="28800" cap="rnd" cmpd="sng" algn="ctr">
              <a:solidFill>
                <a:srgbClr val="83CAFF"/>
              </a:solidFill>
              <a:prstDash val="solid"/>
              <a:round/>
            </a:ln>
          </c:spPr>
          <c:marker>
            <c:symbol val="triangle"/>
            <c:size val="8"/>
            <c:spPr>
              <a:solidFill>
                <a:srgbClr val="83CAFF"/>
              </a:solidFill>
            </c:spPr>
          </c:marker>
          <c:dLbls>
            <c:numFmt formatCode="0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Escalonamento!$E$3:$E$22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Escalonamento!$K$3:$K$22</c:f>
              <c:numCache>
                <c:formatCode>0</c:formatCode>
                <c:ptCount val="20"/>
                <c:pt idx="0">
                  <c:v>787.377081726059</c:v>
                </c:pt>
                <c:pt idx="1">
                  <c:v>1574.75416345212</c:v>
                </c:pt>
                <c:pt idx="2">
                  <c:v>2362.13124517818</c:v>
                </c:pt>
                <c:pt idx="3">
                  <c:v>3149.50832690423</c:v>
                </c:pt>
                <c:pt idx="4">
                  <c:v>3936.88540863029</c:v>
                </c:pt>
                <c:pt idx="5">
                  <c:v>4724.26249035635</c:v>
                </c:pt>
                <c:pt idx="6">
                  <c:v>5511.63957208241</c:v>
                </c:pt>
                <c:pt idx="7">
                  <c:v>6299.01665380847</c:v>
                </c:pt>
                <c:pt idx="8">
                  <c:v>7086.39373553453</c:v>
                </c:pt>
                <c:pt idx="9">
                  <c:v>7873.77081726059</c:v>
                </c:pt>
                <c:pt idx="10">
                  <c:v>8661.14789898664</c:v>
                </c:pt>
                <c:pt idx="11">
                  <c:v>9448.5249807127</c:v>
                </c:pt>
                <c:pt idx="12">
                  <c:v>10235.9020624388</c:v>
                </c:pt>
                <c:pt idx="13">
                  <c:v>11023.2791441648</c:v>
                </c:pt>
                <c:pt idx="14">
                  <c:v>11810.6562258909</c:v>
                </c:pt>
                <c:pt idx="15">
                  <c:v>12598.0333076169</c:v>
                </c:pt>
                <c:pt idx="16">
                  <c:v>13385.410389343</c:v>
                </c:pt>
                <c:pt idx="17">
                  <c:v>14172.7874710691</c:v>
                </c:pt>
                <c:pt idx="18">
                  <c:v>14960.1645527951</c:v>
                </c:pt>
                <c:pt idx="19">
                  <c:v>15747.5416345212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Escalonamento!$L$2:$L$2</c:f>
              <c:strCache>
                <c:ptCount val="1"/>
                <c:pt idx="0">
                  <c:v>n_min</c:v>
                </c:pt>
              </c:strCache>
            </c:strRef>
          </c:tx>
          <c:spPr>
            <a:ln w="28800" cap="rnd" cmpd="sng" algn="ctr">
              <a:solidFill>
                <a:srgbClr val="314004"/>
              </a:solidFill>
              <a:prstDash val="solid"/>
              <a:round/>
            </a:ln>
          </c:spPr>
          <c:marker>
            <c:symbol val="square"/>
            <c:size val="8"/>
            <c:spPr>
              <a:solidFill>
                <a:srgbClr val="314004"/>
              </a:solidFill>
            </c:spPr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Escalonamento!$E$3:$E$22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Escalonamento!$L$3:$L$22</c:f>
              <c:numCache>
                <c:formatCode>General</c:formatCode>
                <c:ptCount val="20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Escalonamento!$M$2:$M$2</c:f>
              <c:strCache>
                <c:ptCount val="1"/>
                <c:pt idx="0">
                  <c:v>n_max</c:v>
                </c:pt>
              </c:strCache>
            </c:strRef>
          </c:tx>
          <c:spPr>
            <a:ln w="28800" cap="rnd" cmpd="sng" algn="ctr">
              <a:solidFill>
                <a:srgbClr val="AECF00"/>
              </a:solidFill>
              <a:prstDash val="solid"/>
              <a:round/>
            </a:ln>
          </c:spPr>
          <c:marker>
            <c:symbol val="square"/>
            <c:size val="8"/>
            <c:spPr>
              <a:solidFill>
                <a:srgbClr val="AECF00"/>
              </a:solidFill>
            </c:spPr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Escalonamento!$E$3:$E$22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Escalonamento!$M$3:$M$22</c:f>
              <c:numCache>
                <c:formatCode>General</c:formatCode>
                <c:ptCount val="20"/>
                <c:pt idx="0">
                  <c:v>13000</c:v>
                </c:pt>
                <c:pt idx="1">
                  <c:v>13000</c:v>
                </c:pt>
                <c:pt idx="2">
                  <c:v>13000</c:v>
                </c:pt>
                <c:pt idx="3">
                  <c:v>13000</c:v>
                </c:pt>
                <c:pt idx="4">
                  <c:v>13000</c:v>
                </c:pt>
                <c:pt idx="5">
                  <c:v>13000</c:v>
                </c:pt>
                <c:pt idx="6">
                  <c:v>13000</c:v>
                </c:pt>
                <c:pt idx="7">
                  <c:v>13000</c:v>
                </c:pt>
                <c:pt idx="8">
                  <c:v>13000</c:v>
                </c:pt>
                <c:pt idx="9">
                  <c:v>13000</c:v>
                </c:pt>
                <c:pt idx="10">
                  <c:v>13000</c:v>
                </c:pt>
                <c:pt idx="11">
                  <c:v>13000</c:v>
                </c:pt>
                <c:pt idx="12">
                  <c:v>13000</c:v>
                </c:pt>
                <c:pt idx="13">
                  <c:v>13000</c:v>
                </c:pt>
                <c:pt idx="14">
                  <c:v>13000</c:v>
                </c:pt>
                <c:pt idx="15">
                  <c:v>13000</c:v>
                </c:pt>
                <c:pt idx="16">
                  <c:v>13000</c:v>
                </c:pt>
                <c:pt idx="17">
                  <c:v>13000</c:v>
                </c:pt>
                <c:pt idx="18">
                  <c:v>13000</c:v>
                </c:pt>
                <c:pt idx="19">
                  <c:v>13000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1"/>
        </c:dLbls>
        <c:axId val="87742080"/>
        <c:axId val="30520448"/>
      </c:scatterChart>
      <c:valAx>
        <c:axId val="877420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GB" sz="9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  <a:r>
                  <a:rPr lang="en-GB" sz="900" b="0" strike="noStrike" spc="-1">
                    <a:latin typeface="Arial" panose="020B0604020202020204"/>
                  </a:rPr>
                  <a:t>v (km/h)</a:t>
                </a:r>
                <a:endParaRPr lang="en-GB" sz="900" b="0" strike="noStrike" spc="-1">
                  <a:latin typeface="Arial" panose="020B0604020202020204"/>
                </a:endParaRP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B3B3B3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GB" sz="10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</a:p>
        </c:txPr>
        <c:crossAx val="30520448"/>
        <c:crosses val="autoZero"/>
        <c:crossBetween val="midCat"/>
      </c:valAx>
      <c:valAx>
        <c:axId val="305204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en-GB" sz="9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  <a:r>
                  <a:rPr lang="en-GB" sz="900" b="0" strike="noStrike" spc="-1">
                    <a:latin typeface="Arial" panose="020B0604020202020204"/>
                  </a:rPr>
                  <a:t>n_m (rpm)</a:t>
                </a:r>
                <a:endParaRPr lang="en-GB" sz="900" b="0" strike="noStrike" spc="-1">
                  <a:latin typeface="Arial" panose="020B0604020202020204"/>
                </a:endParaRP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 cap="flat" cmpd="sng" algn="ctr">
            <a:solidFill>
              <a:srgbClr val="B3B3B3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GB" sz="10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</a:p>
        </c:txPr>
        <c:crossAx val="8774208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en-GB" sz="1000" b="0" i="0" u="none" strike="noStrike" kern="1200" spc="-1" baseline="0">
              <a:solidFill>
                <a:schemeClr val="tx1"/>
              </a:solidFill>
              <a:latin typeface="Arial" panose="020B0604020202020204"/>
              <a:ea typeface="+mn-ea"/>
              <a:cs typeface="+mn-cs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6350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'Torque na roda'!$D$2</c:f>
              <c:strCache>
                <c:ptCount val="1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'Torque na roda'!$D$4:$D$14</c:f>
              <c:numCache>
                <c:formatCode>0</c:formatCode>
                <c:ptCount val="11"/>
                <c:pt idx="0">
                  <c:v>21.0343288481534</c:v>
                </c:pt>
                <c:pt idx="1">
                  <c:v>26.2929110601917</c:v>
                </c:pt>
                <c:pt idx="2">
                  <c:v>31.55149327223</c:v>
                </c:pt>
                <c:pt idx="3">
                  <c:v>36.8100754842684</c:v>
                </c:pt>
                <c:pt idx="4">
                  <c:v>42.0686576963067</c:v>
                </c:pt>
                <c:pt idx="5">
                  <c:v>47.3272399083451</c:v>
                </c:pt>
                <c:pt idx="6">
                  <c:v>52.5858221203834</c:v>
                </c:pt>
                <c:pt idx="7">
                  <c:v>57.8444043324217</c:v>
                </c:pt>
                <c:pt idx="8">
                  <c:v>63.1029865444601</c:v>
                </c:pt>
                <c:pt idx="9">
                  <c:v>68.3615687564984</c:v>
                </c:pt>
                <c:pt idx="10">
                  <c:v>73.6201509685367</c:v>
                </c:pt>
              </c:numCache>
            </c:numRef>
          </c:xVal>
          <c:yVal>
            <c:numRef>
              <c:f>'Torque na roda'!$E$4:$E$14</c:f>
              <c:numCache>
                <c:formatCode>0</c:formatCode>
                <c:ptCount val="11"/>
                <c:pt idx="0">
                  <c:v>638.7635925</c:v>
                </c:pt>
                <c:pt idx="1">
                  <c:v>774.2589</c:v>
                </c:pt>
                <c:pt idx="2">
                  <c:v>948.4671525</c:v>
                </c:pt>
                <c:pt idx="3">
                  <c:v>1006.53657</c:v>
                </c:pt>
                <c:pt idx="4">
                  <c:v>1025.8930425</c:v>
                </c:pt>
                <c:pt idx="5">
                  <c:v>1083.96246</c:v>
                </c:pt>
                <c:pt idx="6">
                  <c:v>1064.6059875</c:v>
                </c:pt>
                <c:pt idx="7">
                  <c:v>1025.8930425</c:v>
                </c:pt>
                <c:pt idx="8">
                  <c:v>967.823625</c:v>
                </c:pt>
                <c:pt idx="9">
                  <c:v>832.3283175</c:v>
                </c:pt>
                <c:pt idx="10">
                  <c:v>677.4765375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'Torque na roda'!$F$2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xVal>
            <c:numRef>
              <c:f>'Torque na roda'!$F$4:$F$14</c:f>
              <c:numCache>
                <c:formatCode>0</c:formatCode>
                <c:ptCount val="11"/>
                <c:pt idx="0">
                  <c:v>28.8992500615027</c:v>
                </c:pt>
                <c:pt idx="1">
                  <c:v>36.1240625768783</c:v>
                </c:pt>
                <c:pt idx="2">
                  <c:v>43.348875092254</c:v>
                </c:pt>
                <c:pt idx="3">
                  <c:v>50.5736876076296</c:v>
                </c:pt>
                <c:pt idx="4">
                  <c:v>57.7985001230053</c:v>
                </c:pt>
                <c:pt idx="5">
                  <c:v>65.023312638381</c:v>
                </c:pt>
                <c:pt idx="6">
                  <c:v>72.2481251537566</c:v>
                </c:pt>
                <c:pt idx="7">
                  <c:v>79.4729376691323</c:v>
                </c:pt>
                <c:pt idx="8">
                  <c:v>86.697750184508</c:v>
                </c:pt>
                <c:pt idx="9">
                  <c:v>93.9225626998836</c:v>
                </c:pt>
                <c:pt idx="10">
                  <c:v>101.147375215259</c:v>
                </c:pt>
              </c:numCache>
            </c:numRef>
          </c:xVal>
          <c:yVal>
            <c:numRef>
              <c:f>'Torque na roda'!$G$4:$G$14</c:f>
              <c:numCache>
                <c:formatCode>0</c:formatCode>
                <c:ptCount val="11"/>
                <c:pt idx="0">
                  <c:v>464.924295</c:v>
                </c:pt>
                <c:pt idx="1">
                  <c:v>563.5446</c:v>
                </c:pt>
                <c:pt idx="2">
                  <c:v>690.342135</c:v>
                </c:pt>
                <c:pt idx="3">
                  <c:v>732.60798</c:v>
                </c:pt>
                <c:pt idx="4">
                  <c:v>746.696595</c:v>
                </c:pt>
                <c:pt idx="5">
                  <c:v>788.96244</c:v>
                </c:pt>
                <c:pt idx="6">
                  <c:v>774.873825</c:v>
                </c:pt>
                <c:pt idx="7">
                  <c:v>746.696595</c:v>
                </c:pt>
                <c:pt idx="8">
                  <c:v>704.43075</c:v>
                </c:pt>
                <c:pt idx="9">
                  <c:v>605.810445</c:v>
                </c:pt>
                <c:pt idx="10">
                  <c:v>493.101525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'Torque na roda'!$H$2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xVal>
            <c:numRef>
              <c:f>'Torque na roda'!$H$4:$H$14</c:f>
              <c:numCache>
                <c:formatCode>0</c:formatCode>
                <c:ptCount val="11"/>
                <c:pt idx="0">
                  <c:v>36.181089026605</c:v>
                </c:pt>
                <c:pt idx="1">
                  <c:v>45.2263612832563</c:v>
                </c:pt>
                <c:pt idx="2">
                  <c:v>54.2716335399075</c:v>
                </c:pt>
                <c:pt idx="3">
                  <c:v>63.3169057965588</c:v>
                </c:pt>
                <c:pt idx="4">
                  <c:v>72.36217805321</c:v>
                </c:pt>
                <c:pt idx="5">
                  <c:v>81.4074503098613</c:v>
                </c:pt>
                <c:pt idx="6">
                  <c:v>90.4527225665125</c:v>
                </c:pt>
                <c:pt idx="7">
                  <c:v>99.4979948231638</c:v>
                </c:pt>
                <c:pt idx="8">
                  <c:v>108.543267079815</c:v>
                </c:pt>
                <c:pt idx="9">
                  <c:v>117.588539336466</c:v>
                </c:pt>
                <c:pt idx="10">
                  <c:v>126.633811593118</c:v>
                </c:pt>
              </c:numCache>
            </c:numRef>
          </c:xVal>
          <c:yVal>
            <c:numRef>
              <c:f>'Torque na roda'!$I$4:$I$14</c:f>
              <c:numCache>
                <c:formatCode>0</c:formatCode>
                <c:ptCount val="11"/>
                <c:pt idx="0">
                  <c:v>371.3532075</c:v>
                </c:pt>
                <c:pt idx="1">
                  <c:v>450.1251</c:v>
                </c:pt>
                <c:pt idx="2">
                  <c:v>551.4032475</c:v>
                </c:pt>
                <c:pt idx="3">
                  <c:v>585.16263</c:v>
                </c:pt>
                <c:pt idx="4">
                  <c:v>596.4157575</c:v>
                </c:pt>
                <c:pt idx="5">
                  <c:v>630.17514</c:v>
                </c:pt>
                <c:pt idx="6">
                  <c:v>618.9220125</c:v>
                </c:pt>
                <c:pt idx="7">
                  <c:v>596.4157575</c:v>
                </c:pt>
                <c:pt idx="8">
                  <c:v>562.656375</c:v>
                </c:pt>
                <c:pt idx="9">
                  <c:v>483.8844825</c:v>
                </c:pt>
                <c:pt idx="10">
                  <c:v>393.8594625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'Torque na roda'!$J$2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xVal>
            <c:numRef>
              <c:f>'Torque na roda'!$J$4:$J$14</c:f>
              <c:numCache>
                <c:formatCode>0</c:formatCode>
                <c:ptCount val="11"/>
                <c:pt idx="0">
                  <c:v>41.9354353461073</c:v>
                </c:pt>
                <c:pt idx="1">
                  <c:v>52.4192941826341</c:v>
                </c:pt>
                <c:pt idx="2">
                  <c:v>62.9031530191609</c:v>
                </c:pt>
                <c:pt idx="3">
                  <c:v>73.3870118556878</c:v>
                </c:pt>
                <c:pt idx="4">
                  <c:v>83.8708706922146</c:v>
                </c:pt>
                <c:pt idx="5">
                  <c:v>94.3547295287414</c:v>
                </c:pt>
                <c:pt idx="6">
                  <c:v>104.838588365268</c:v>
                </c:pt>
                <c:pt idx="7">
                  <c:v>115.322447201795</c:v>
                </c:pt>
                <c:pt idx="8">
                  <c:v>125.806306038322</c:v>
                </c:pt>
                <c:pt idx="9">
                  <c:v>136.290164874849</c:v>
                </c:pt>
                <c:pt idx="10">
                  <c:v>146.774023711376</c:v>
                </c:pt>
              </c:numCache>
            </c:numRef>
          </c:xVal>
          <c:yVal>
            <c:numRef>
              <c:f>'Torque na roda'!$K$4:$K$14</c:f>
              <c:numCache>
                <c:formatCode>0</c:formatCode>
                <c:ptCount val="11"/>
                <c:pt idx="0">
                  <c:v>320.3964225</c:v>
                </c:pt>
                <c:pt idx="1">
                  <c:v>388.3593</c:v>
                </c:pt>
                <c:pt idx="2">
                  <c:v>475.7401425</c:v>
                </c:pt>
                <c:pt idx="3">
                  <c:v>504.86709</c:v>
                </c:pt>
                <c:pt idx="4">
                  <c:v>514.5760725</c:v>
                </c:pt>
                <c:pt idx="5">
                  <c:v>543.70302</c:v>
                </c:pt>
                <c:pt idx="6">
                  <c:v>533.9940375</c:v>
                </c:pt>
                <c:pt idx="7">
                  <c:v>514.5760725</c:v>
                </c:pt>
                <c:pt idx="8">
                  <c:v>485.449125</c:v>
                </c:pt>
                <c:pt idx="9">
                  <c:v>417.4862475</c:v>
                </c:pt>
                <c:pt idx="10">
                  <c:v>339.8143875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'Torque na roda'!$L$2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elete val="1"/>
          </c:dLbls>
          <c:xVal>
            <c:numRef>
              <c:f>'Torque na roda'!$L$4:$L$14</c:f>
              <c:numCache>
                <c:formatCode>0</c:formatCode>
                <c:ptCount val="11"/>
                <c:pt idx="0">
                  <c:v>46.8476836688824</c:v>
                </c:pt>
                <c:pt idx="1">
                  <c:v>58.559604586103</c:v>
                </c:pt>
                <c:pt idx="2">
                  <c:v>70.2715255033237</c:v>
                </c:pt>
                <c:pt idx="3">
                  <c:v>81.9834464205443</c:v>
                </c:pt>
                <c:pt idx="4">
                  <c:v>93.6953673377649</c:v>
                </c:pt>
                <c:pt idx="5">
                  <c:v>105.407288254985</c:v>
                </c:pt>
                <c:pt idx="6">
                  <c:v>117.119209172206</c:v>
                </c:pt>
                <c:pt idx="7">
                  <c:v>128.831130089427</c:v>
                </c:pt>
                <c:pt idx="8">
                  <c:v>140.543051006647</c:v>
                </c:pt>
                <c:pt idx="9">
                  <c:v>152.254971923868</c:v>
                </c:pt>
                <c:pt idx="10">
                  <c:v>163.966892841089</c:v>
                </c:pt>
              </c:numCache>
            </c:numRef>
          </c:xVal>
          <c:yVal>
            <c:numRef>
              <c:f>'Torque na roda'!$M$4:$M$14</c:f>
              <c:numCache>
                <c:formatCode>0</c:formatCode>
                <c:ptCount val="11"/>
                <c:pt idx="0">
                  <c:v>286.80102</c:v>
                </c:pt>
                <c:pt idx="1">
                  <c:v>347.6376</c:v>
                </c:pt>
                <c:pt idx="2">
                  <c:v>425.85606</c:v>
                </c:pt>
                <c:pt idx="3">
                  <c:v>451.92888</c:v>
                </c:pt>
                <c:pt idx="4">
                  <c:v>460.61982</c:v>
                </c:pt>
                <c:pt idx="5">
                  <c:v>486.69264</c:v>
                </c:pt>
                <c:pt idx="6">
                  <c:v>478.0017</c:v>
                </c:pt>
                <c:pt idx="7">
                  <c:v>460.61982</c:v>
                </c:pt>
                <c:pt idx="8">
                  <c:v>434.547</c:v>
                </c:pt>
                <c:pt idx="9">
                  <c:v>373.71042</c:v>
                </c:pt>
                <c:pt idx="10">
                  <c:v>304.1829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'Torque na roda'!$N$2</c:f>
              <c:strCache>
                <c:ptCount val="1"/>
                <c:pt idx="0">
                  <c:v>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elete val="1"/>
          </c:dLbls>
          <c:xVal>
            <c:numRef>
              <c:f>'Torque na roda'!$N$4:$N$14</c:f>
              <c:numCache>
                <c:formatCode>0</c:formatCode>
                <c:ptCount val="11"/>
                <c:pt idx="0">
                  <c:v>50.801580244517</c:v>
                </c:pt>
                <c:pt idx="1">
                  <c:v>63.5019753056463</c:v>
                </c:pt>
                <c:pt idx="2">
                  <c:v>76.2023703667755</c:v>
                </c:pt>
                <c:pt idx="3">
                  <c:v>88.9027654279048</c:v>
                </c:pt>
                <c:pt idx="4">
                  <c:v>101.603160489034</c:v>
                </c:pt>
                <c:pt idx="5">
                  <c:v>114.303555550163</c:v>
                </c:pt>
                <c:pt idx="6">
                  <c:v>127.003950611293</c:v>
                </c:pt>
                <c:pt idx="7">
                  <c:v>139.704345672422</c:v>
                </c:pt>
                <c:pt idx="8">
                  <c:v>152.404740733551</c:v>
                </c:pt>
                <c:pt idx="9">
                  <c:v>165.10513579468</c:v>
                </c:pt>
                <c:pt idx="10">
                  <c:v>177.80553085581</c:v>
                </c:pt>
              </c:numCache>
            </c:numRef>
          </c:xVal>
          <c:yVal>
            <c:numRef>
              <c:f>'Torque na roda'!$O$4:$O$14</c:f>
              <c:numCache>
                <c:formatCode>0</c:formatCode>
                <c:ptCount val="11"/>
                <c:pt idx="0">
                  <c:v>264.4792425</c:v>
                </c:pt>
                <c:pt idx="1">
                  <c:v>320.5809</c:v>
                </c:pt>
                <c:pt idx="2">
                  <c:v>392.7116025</c:v>
                </c:pt>
                <c:pt idx="3">
                  <c:v>416.75517</c:v>
                </c:pt>
                <c:pt idx="4">
                  <c:v>424.7696925</c:v>
                </c:pt>
                <c:pt idx="5">
                  <c:v>448.81326</c:v>
                </c:pt>
                <c:pt idx="6">
                  <c:v>440.7987375</c:v>
                </c:pt>
                <c:pt idx="7">
                  <c:v>424.7696925</c:v>
                </c:pt>
                <c:pt idx="8">
                  <c:v>400.726125</c:v>
                </c:pt>
                <c:pt idx="9">
                  <c:v>344.6244675</c:v>
                </c:pt>
                <c:pt idx="10">
                  <c:v>280.5082875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735074"/>
        <c:axId val="965869603"/>
      </c:scatterChart>
      <c:valAx>
        <c:axId val="62373507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pt-BR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Velocidade (km/h)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65869603"/>
        <c:crosses val="autoZero"/>
        <c:crossBetween val="midCat"/>
      </c:valAx>
      <c:valAx>
        <c:axId val="9658696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pt-BR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Torque na roda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2373507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'Resistências ao Movimento'!$F$27</c:f>
              <c:strCache>
                <c:ptCount val="1"/>
                <c:pt idx="0">
                  <c:v>Q_s+Q_r+Q_a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'Resistências ao Movimento'!$A$29:$A$48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'Resistências ao Movimento'!$F$29:$F$48</c:f>
              <c:numCache>
                <c:formatCode>0_ </c:formatCode>
                <c:ptCount val="20"/>
                <c:pt idx="0">
                  <c:v>30.7615200617284</c:v>
                </c:pt>
                <c:pt idx="1">
                  <c:v>33.0460802469136</c:v>
                </c:pt>
                <c:pt idx="2">
                  <c:v>36.8536805555556</c:v>
                </c:pt>
                <c:pt idx="3">
                  <c:v>42.1843209876543</c:v>
                </c:pt>
                <c:pt idx="4">
                  <c:v>49.0380015432099</c:v>
                </c:pt>
                <c:pt idx="5">
                  <c:v>57.4147222222222</c:v>
                </c:pt>
                <c:pt idx="6">
                  <c:v>67.3144830246914</c:v>
                </c:pt>
                <c:pt idx="7">
                  <c:v>78.7372839506173</c:v>
                </c:pt>
                <c:pt idx="8">
                  <c:v>91.683125</c:v>
                </c:pt>
                <c:pt idx="9">
                  <c:v>106.15200617284</c:v>
                </c:pt>
                <c:pt idx="10">
                  <c:v>122.143927469136</c:v>
                </c:pt>
                <c:pt idx="11">
                  <c:v>139.658888888889</c:v>
                </c:pt>
                <c:pt idx="12">
                  <c:v>158.696890432099</c:v>
                </c:pt>
                <c:pt idx="13">
                  <c:v>179.257932098765</c:v>
                </c:pt>
                <c:pt idx="14">
                  <c:v>201.342013888889</c:v>
                </c:pt>
                <c:pt idx="15">
                  <c:v>224.949135802469</c:v>
                </c:pt>
                <c:pt idx="16">
                  <c:v>250.079297839506</c:v>
                </c:pt>
                <c:pt idx="17">
                  <c:v>276.7325</c:v>
                </c:pt>
                <c:pt idx="18">
                  <c:v>304.908742283951</c:v>
                </c:pt>
                <c:pt idx="19">
                  <c:v>334.608024691358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026039"/>
        <c:axId val="723327613"/>
      </c:scatterChart>
      <c:valAx>
        <c:axId val="271026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pt-BR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velocidade</a:t>
                </a:r>
              </a:p>
            </c:rich>
          </c:tx>
          <c:layout>
            <c:manualLayout>
              <c:xMode val="edge"/>
              <c:yMode val="edge"/>
              <c:x val="0.465725190839695"/>
              <c:y val="0.8736717827626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23327613"/>
        <c:crosses val="autoZero"/>
        <c:crossBetween val="midCat"/>
      </c:valAx>
      <c:valAx>
        <c:axId val="72332761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pt-BR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Resistência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710260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51435</xdr:colOff>
      <xdr:row>13</xdr:row>
      <xdr:rowOff>143510</xdr:rowOff>
    </xdr:from>
    <xdr:to>
      <xdr:col>7</xdr:col>
      <xdr:colOff>120915</xdr:colOff>
      <xdr:row>33</xdr:row>
      <xdr:rowOff>131705</xdr:rowOff>
    </xdr:to>
    <xdr:graphicFrame>
      <xdr:nvGraphicFramePr>
        <xdr:cNvPr id="2" name="Gráfico 1"/>
        <xdr:cNvGraphicFramePr/>
      </xdr:nvGraphicFramePr>
      <xdr:xfrm>
        <a:off x="51435" y="2248535"/>
        <a:ext cx="5447665" cy="32264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48895</xdr:colOff>
      <xdr:row>14</xdr:row>
      <xdr:rowOff>15875</xdr:rowOff>
    </xdr:from>
    <xdr:to>
      <xdr:col>14</xdr:col>
      <xdr:colOff>117655</xdr:colOff>
      <xdr:row>34</xdr:row>
      <xdr:rowOff>5435</xdr:rowOff>
    </xdr:to>
    <xdr:graphicFrame>
      <xdr:nvGraphicFramePr>
        <xdr:cNvPr id="3" name="Gráfico 2"/>
        <xdr:cNvGraphicFramePr/>
      </xdr:nvGraphicFramePr>
      <xdr:xfrm>
        <a:off x="5427345" y="2282825"/>
        <a:ext cx="5447030" cy="32277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24130</xdr:colOff>
      <xdr:row>22</xdr:row>
      <xdr:rowOff>144780</xdr:rowOff>
    </xdr:from>
    <xdr:to>
      <xdr:col>11</xdr:col>
      <xdr:colOff>221330</xdr:colOff>
      <xdr:row>64</xdr:row>
      <xdr:rowOff>93735</xdr:rowOff>
    </xdr:to>
    <xdr:graphicFrame>
      <xdr:nvGraphicFramePr>
        <xdr:cNvPr id="2" name="Gráfico 1"/>
        <xdr:cNvGraphicFramePr/>
      </xdr:nvGraphicFramePr>
      <xdr:xfrm>
        <a:off x="24130" y="3707130"/>
        <a:ext cx="8959850" cy="67494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4445</xdr:colOff>
      <xdr:row>15</xdr:row>
      <xdr:rowOff>53975</xdr:rowOff>
    </xdr:from>
    <xdr:to>
      <xdr:col>8</xdr:col>
      <xdr:colOff>734695</xdr:colOff>
      <xdr:row>39</xdr:row>
      <xdr:rowOff>104775</xdr:rowOff>
    </xdr:to>
    <xdr:graphicFrame>
      <xdr:nvGraphicFramePr>
        <xdr:cNvPr id="2" name="Gráfico 1"/>
        <xdr:cNvGraphicFramePr/>
      </xdr:nvGraphicFramePr>
      <xdr:xfrm>
        <a:off x="2627630" y="2482850"/>
        <a:ext cx="4572000" cy="3937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57785</xdr:colOff>
      <xdr:row>49</xdr:row>
      <xdr:rowOff>34290</xdr:rowOff>
    </xdr:from>
    <xdr:to>
      <xdr:col>3</xdr:col>
      <xdr:colOff>314960</xdr:colOff>
      <xdr:row>66</xdr:row>
      <xdr:rowOff>24765</xdr:rowOff>
    </xdr:to>
    <xdr:graphicFrame>
      <xdr:nvGraphicFramePr>
        <xdr:cNvPr id="2" name="Gráfico 1"/>
        <xdr:cNvGraphicFramePr/>
      </xdr:nvGraphicFramePr>
      <xdr:xfrm>
        <a:off x="57785" y="796861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zoomScale="80" zoomScaleNormal="80" topLeftCell="A4" workbookViewId="0">
      <selection activeCell="G4" sqref="G4"/>
    </sheetView>
  </sheetViews>
  <sheetFormatPr defaultColWidth="9" defaultRowHeight="12.75" outlineLevelCol="4"/>
  <cols>
    <col min="1" max="7" width="11.5238095238095" style="35"/>
    <col min="8" max="1025" width="11.5238095238095"/>
  </cols>
  <sheetData>
    <row r="1" spans="1:5">
      <c r="A1" s="36" t="s">
        <v>0</v>
      </c>
      <c r="B1" s="36" t="s">
        <v>1</v>
      </c>
      <c r="C1" s="36" t="s">
        <v>2</v>
      </c>
      <c r="D1" s="35" t="s">
        <v>3</v>
      </c>
      <c r="E1" s="35" t="s">
        <v>4</v>
      </c>
    </row>
    <row r="2" spans="1:5">
      <c r="A2" s="36" t="s">
        <v>5</v>
      </c>
      <c r="B2" s="36" t="s">
        <v>6</v>
      </c>
      <c r="C2" s="36" t="s">
        <v>7</v>
      </c>
      <c r="D2" s="35" t="s">
        <v>7</v>
      </c>
      <c r="E2" s="35" t="s">
        <v>8</v>
      </c>
    </row>
    <row r="3" spans="1:5">
      <c r="A3" s="36">
        <v>4000</v>
      </c>
      <c r="B3" s="36">
        <v>33</v>
      </c>
      <c r="C3" s="36">
        <v>14000</v>
      </c>
      <c r="D3" s="37">
        <f t="shared" ref="D3:D13" si="0">B3*2*PI()*A3/60</f>
        <v>13823.0076757951</v>
      </c>
      <c r="E3" s="38">
        <f t="shared" ref="E3:E13" si="1">(D3-C3)/C3</f>
        <v>-0.0126423088717793</v>
      </c>
    </row>
    <row r="4" spans="1:5">
      <c r="A4" s="36">
        <v>5000</v>
      </c>
      <c r="B4" s="36">
        <v>40</v>
      </c>
      <c r="C4" s="36">
        <v>21000</v>
      </c>
      <c r="D4" s="37">
        <f t="shared" si="0"/>
        <v>20943.951023932</v>
      </c>
      <c r="E4" s="38">
        <f t="shared" si="1"/>
        <v>-0.00266899886038317</v>
      </c>
    </row>
    <row r="5" spans="1:5">
      <c r="A5" s="36">
        <v>6000</v>
      </c>
      <c r="B5" s="36">
        <v>49</v>
      </c>
      <c r="C5" s="36">
        <v>30100</v>
      </c>
      <c r="D5" s="37">
        <f t="shared" si="0"/>
        <v>30787.60800518</v>
      </c>
      <c r="E5" s="38">
        <f t="shared" si="1"/>
        <v>0.0228441197734209</v>
      </c>
    </row>
    <row r="6" spans="1:5">
      <c r="A6" s="36">
        <v>7000</v>
      </c>
      <c r="B6" s="36">
        <v>52</v>
      </c>
      <c r="C6" s="36">
        <v>38500</v>
      </c>
      <c r="D6" s="37">
        <f t="shared" si="0"/>
        <v>38117.9908635562</v>
      </c>
      <c r="E6" s="38">
        <f t="shared" si="1"/>
        <v>-0.00992231523230756</v>
      </c>
    </row>
    <row r="7" spans="1:5">
      <c r="A7" s="36">
        <v>8000</v>
      </c>
      <c r="B7" s="36">
        <v>53</v>
      </c>
      <c r="C7" s="36">
        <v>44800</v>
      </c>
      <c r="D7" s="37">
        <f t="shared" si="0"/>
        <v>44401.1761707357</v>
      </c>
      <c r="E7" s="38">
        <f t="shared" si="1"/>
        <v>-0.00890231761750572</v>
      </c>
    </row>
    <row r="8" spans="1:5">
      <c r="A8" s="36">
        <v>9000</v>
      </c>
      <c r="B8" s="36">
        <v>56</v>
      </c>
      <c r="C8" s="36">
        <v>53200</v>
      </c>
      <c r="D8" s="37">
        <f t="shared" si="0"/>
        <v>52778.7565803085</v>
      </c>
      <c r="E8" s="38">
        <f t="shared" si="1"/>
        <v>-0.00791810939269692</v>
      </c>
    </row>
    <row r="9" spans="1:5">
      <c r="A9" s="36">
        <v>10000</v>
      </c>
      <c r="B9" s="36">
        <v>55</v>
      </c>
      <c r="C9" s="36">
        <v>57400</v>
      </c>
      <c r="D9" s="37">
        <f t="shared" si="0"/>
        <v>57595.8653158129</v>
      </c>
      <c r="E9" s="38">
        <f t="shared" si="1"/>
        <v>0.00341228773193171</v>
      </c>
    </row>
    <row r="10" spans="1:5">
      <c r="A10" s="36">
        <v>11000</v>
      </c>
      <c r="B10" s="36">
        <v>53</v>
      </c>
      <c r="C10" s="36">
        <v>60900</v>
      </c>
      <c r="D10" s="37">
        <f t="shared" si="0"/>
        <v>61051.6172347616</v>
      </c>
      <c r="E10" s="38">
        <f t="shared" si="1"/>
        <v>0.00248960976620106</v>
      </c>
    </row>
    <row r="11" spans="1:5">
      <c r="A11" s="36">
        <v>12000</v>
      </c>
      <c r="B11" s="36">
        <v>50</v>
      </c>
      <c r="C11" s="36">
        <v>63700</v>
      </c>
      <c r="D11" s="37">
        <f t="shared" si="0"/>
        <v>62831.8530717959</v>
      </c>
      <c r="E11" s="38">
        <f t="shared" si="1"/>
        <v>-0.0136286801915877</v>
      </c>
    </row>
    <row r="12" spans="1:5">
      <c r="A12" s="36">
        <v>13000</v>
      </c>
      <c r="B12" s="36">
        <v>43</v>
      </c>
      <c r="C12" s="36">
        <v>58100</v>
      </c>
      <c r="D12" s="37">
        <f t="shared" si="0"/>
        <v>58538.3431118898</v>
      </c>
      <c r="E12" s="38">
        <f t="shared" si="1"/>
        <v>0.00754463187417914</v>
      </c>
    </row>
    <row r="13" spans="1:5">
      <c r="A13" s="36">
        <v>14000</v>
      </c>
      <c r="B13" s="36">
        <v>35</v>
      </c>
      <c r="C13" s="36">
        <v>51800</v>
      </c>
      <c r="D13" s="37">
        <f t="shared" si="0"/>
        <v>51312.6800086333</v>
      </c>
      <c r="E13" s="38">
        <f t="shared" si="1"/>
        <v>-0.00940772184105622</v>
      </c>
    </row>
  </sheetData>
  <pageMargins left="0.7875" right="0.7875" top="1.05277777777778" bottom="1.05277777777778" header="0.7875" footer="0.7875"/>
  <pageSetup paperSize="9" firstPageNumber="0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zoomScale="80" zoomScaleNormal="80" topLeftCell="A16" workbookViewId="0">
      <selection activeCell="L29" sqref="L29"/>
    </sheetView>
  </sheetViews>
  <sheetFormatPr defaultColWidth="9" defaultRowHeight="12.75"/>
  <cols>
    <col min="1" max="1" width="16.2952380952381" style="28" customWidth="1"/>
    <col min="2" max="2" width="8.22857142857143" style="28" customWidth="1"/>
    <col min="3" max="3" width="7.40952380952381" style="28" customWidth="1"/>
    <col min="4" max="4" width="9.46666666666667" style="28" customWidth="1"/>
    <col min="5" max="5" width="15.9333333333333" style="28" customWidth="1"/>
    <col min="6" max="8" width="11.5238095238095" style="28"/>
    <col min="9" max="9" width="12.8571428571429" style="28"/>
    <col min="10" max="10" width="15.1428571428571" style="28"/>
    <col min="11" max="13" width="11.5238095238095" style="28"/>
    <col min="14" max="1025" width="11.5238095238095"/>
  </cols>
  <sheetData>
    <row r="1" spans="1:13">
      <c r="A1" s="29"/>
      <c r="B1" s="29"/>
      <c r="C1" s="30"/>
      <c r="D1" s="29"/>
      <c r="E1" s="31" t="s">
        <v>9</v>
      </c>
      <c r="F1" s="31" t="s">
        <v>10</v>
      </c>
      <c r="G1" s="31"/>
      <c r="H1" s="31"/>
      <c r="I1" s="31"/>
      <c r="J1" s="31"/>
      <c r="K1" s="31"/>
      <c r="L1" s="31"/>
      <c r="M1" s="31"/>
    </row>
    <row r="2" spans="1:13">
      <c r="A2" s="31" t="s">
        <v>11</v>
      </c>
      <c r="B2" s="31" t="s">
        <v>12</v>
      </c>
      <c r="C2" s="31"/>
      <c r="D2" s="31" t="s">
        <v>13</v>
      </c>
      <c r="E2" s="31" t="s">
        <v>14</v>
      </c>
      <c r="F2" s="31">
        <v>1</v>
      </c>
      <c r="G2" s="31">
        <v>2</v>
      </c>
      <c r="H2" s="31">
        <v>3</v>
      </c>
      <c r="I2" s="31">
        <v>4</v>
      </c>
      <c r="J2" s="31">
        <v>5</v>
      </c>
      <c r="K2" s="31">
        <v>6</v>
      </c>
      <c r="L2" s="31" t="s">
        <v>15</v>
      </c>
      <c r="M2" s="31" t="s">
        <v>16</v>
      </c>
    </row>
    <row r="3" spans="1:13">
      <c r="A3" s="32" t="s">
        <v>17</v>
      </c>
      <c r="B3" s="31" t="s">
        <v>18</v>
      </c>
      <c r="C3" s="31">
        <v>1.822</v>
      </c>
      <c r="D3" s="31"/>
      <c r="E3" s="31">
        <v>10</v>
      </c>
      <c r="F3" s="33">
        <f>(60000*i_pri*N_c/N_p*i_1)/(2*PI()*R_r)*$E3/3.6</f>
        <v>1901.65325876379</v>
      </c>
      <c r="G3" s="33">
        <f>(60000*i_pri*N_c/N_p*i_2)/(2*PI()*R_r)*$E3/3.6</f>
        <v>1384.1189620794</v>
      </c>
      <c r="H3" s="33">
        <f>(60000*i_pri*N_c/N_p*i_3)/(2*PI()*R_r)*$E3/3.6</f>
        <v>1105.54991781996</v>
      </c>
      <c r="I3" s="33">
        <f>(60000*i_pri*N_c/N_p*i_4)/(2*PI()*R_r)*$E3/3.6</f>
        <v>953.847257572659</v>
      </c>
      <c r="J3" s="33">
        <f>(60000*i_pri*N_c/N_p*i_5)/(2*PI()*R_r)*$E3/3.6</f>
        <v>853.830901922887</v>
      </c>
      <c r="K3" s="33">
        <f>(60000*i_pri*N_c/N_p*i_6)/(2*PI()*R_r)*$E3/3.6</f>
        <v>787.377081726059</v>
      </c>
      <c r="L3" s="31">
        <f>n_min</f>
        <v>10000</v>
      </c>
      <c r="M3" s="31">
        <f>n_max</f>
        <v>13000</v>
      </c>
    </row>
    <row r="4" spans="1:13">
      <c r="A4" s="32">
        <v>1</v>
      </c>
      <c r="B4" s="31" t="s">
        <v>19</v>
      </c>
      <c r="C4" s="31">
        <v>2.833</v>
      </c>
      <c r="D4" s="31"/>
      <c r="E4" s="31">
        <v>20</v>
      </c>
      <c r="F4" s="33">
        <f>(60000*i_pri*N_c/N_p*i_1)/(2*PI()*R_r)*E4/3.6</f>
        <v>3803.30651752758</v>
      </c>
      <c r="G4" s="33">
        <f>(60000*i_pri*N_c/N_p*i_2)/(2*PI()*R_r)*$E4/3.6</f>
        <v>2768.23792415879</v>
      </c>
      <c r="H4" s="33">
        <f>(60000*i_pri*N_c/N_p*i_3)/(2*PI()*R_r)*$E4/3.6</f>
        <v>2211.09983563993</v>
      </c>
      <c r="I4" s="33">
        <f>(60000*i_pri*N_c/N_p*i_4)/(2*PI()*R_r)*$E4/3.6</f>
        <v>1907.69451514532</v>
      </c>
      <c r="J4" s="33">
        <f>(60000*i_pri*N_c/N_p*i_5)/(2*PI()*R_r)*$E4/3.6</f>
        <v>1707.66180384577</v>
      </c>
      <c r="K4" s="33">
        <f>(60000*i_pri*N_c/N_p*i_6)/(2*PI()*R_r)*$E4/3.6</f>
        <v>1574.75416345212</v>
      </c>
      <c r="L4" s="31">
        <f>n_min</f>
        <v>10000</v>
      </c>
      <c r="M4" s="31">
        <f>n_max</f>
        <v>13000</v>
      </c>
    </row>
    <row r="5" spans="1:13">
      <c r="A5" s="32">
        <v>2</v>
      </c>
      <c r="B5" s="31" t="s">
        <v>20</v>
      </c>
      <c r="C5" s="31">
        <v>2.062</v>
      </c>
      <c r="D5" s="31"/>
      <c r="E5" s="31">
        <v>30</v>
      </c>
      <c r="F5" s="33">
        <f>(60000*i_pri*N_c/N_p*i_1)/(2*PI()*R_r)*E5/3.6</f>
        <v>5704.95977629137</v>
      </c>
      <c r="G5" s="33">
        <f>(60000*i_pri*N_c/N_p*i_2)/(2*PI()*R_r)*$E5/3.6</f>
        <v>4152.35688623819</v>
      </c>
      <c r="H5" s="33">
        <f>(60000*i_pri*N_c/N_p*i_3)/(2*PI()*R_r)*$E5/3.6</f>
        <v>3316.64975345989</v>
      </c>
      <c r="I5" s="33">
        <f>(60000*i_pri*N_c/N_p*i_4)/(2*PI()*R_r)*$E5/3.6</f>
        <v>2861.54177271798</v>
      </c>
      <c r="J5" s="33">
        <f>(60000*i_pri*N_c/N_p*i_5)/(2*PI()*R_r)*$E5/3.6</f>
        <v>2561.49270576866</v>
      </c>
      <c r="K5" s="33">
        <f>(60000*i_pri*N_c/N_p*i_6)/(2*PI()*R_r)*$E5/3.6</f>
        <v>2362.13124517818</v>
      </c>
      <c r="L5" s="31">
        <f>n_min</f>
        <v>10000</v>
      </c>
      <c r="M5" s="31">
        <f>n_max</f>
        <v>13000</v>
      </c>
    </row>
    <row r="6" spans="1:13">
      <c r="A6" s="32">
        <v>3</v>
      </c>
      <c r="B6" s="31" t="s">
        <v>21</v>
      </c>
      <c r="C6" s="31">
        <v>1.647</v>
      </c>
      <c r="D6" s="31"/>
      <c r="E6" s="31">
        <v>40</v>
      </c>
      <c r="F6" s="33">
        <f>(60000*i_pri*N_c/N_p*i_1)/(2*PI()*R_r)*E6/3.6</f>
        <v>7606.61303505515</v>
      </c>
      <c r="G6" s="33">
        <f>(60000*i_pri*N_c/N_p*i_2)/(2*PI()*R_r)*$E6/3.6</f>
        <v>5536.47584831759</v>
      </c>
      <c r="H6" s="33">
        <f>(60000*i_pri*N_c/N_p*i_3)/(2*PI()*R_r)*$E6/3.6</f>
        <v>4422.19967127986</v>
      </c>
      <c r="I6" s="33">
        <f>(60000*i_pri*N_c/N_p*i_4)/(2*PI()*R_r)*$E6/3.6</f>
        <v>3815.38903029064</v>
      </c>
      <c r="J6" s="33">
        <f>(60000*i_pri*N_c/N_p*i_5)/(2*PI()*R_r)*$E6/3.6</f>
        <v>3415.32360769155</v>
      </c>
      <c r="K6" s="33">
        <f>(60000*i_pri*N_c/N_p*i_6)/(2*PI()*R_r)*$E6/3.6</f>
        <v>3149.50832690423</v>
      </c>
      <c r="L6" s="31">
        <f>n_min</f>
        <v>10000</v>
      </c>
      <c r="M6" s="31">
        <f>n_max</f>
        <v>13000</v>
      </c>
    </row>
    <row r="7" spans="1:13">
      <c r="A7" s="32">
        <v>4</v>
      </c>
      <c r="B7" s="31" t="s">
        <v>22</v>
      </c>
      <c r="C7" s="31">
        <v>1.421</v>
      </c>
      <c r="D7" s="31"/>
      <c r="E7" s="31">
        <v>50</v>
      </c>
      <c r="F7" s="33">
        <f>(60000*i_pri*N_c/N_p*i_1)/(2*PI()*R_r)*E7/3.6</f>
        <v>9508.26629381894</v>
      </c>
      <c r="G7" s="33">
        <f>(60000*i_pri*N_c/N_p*i_2)/(2*PI()*R_r)*$E7/3.6</f>
        <v>6920.59481039698</v>
      </c>
      <c r="H7" s="33">
        <f>(60000*i_pri*N_c/N_p*i_3)/(2*PI()*R_r)*$E7/3.6</f>
        <v>5527.74958909982</v>
      </c>
      <c r="I7" s="33">
        <f>(60000*i_pri*N_c/N_p*i_4)/(2*PI()*R_r)*$E7/3.6</f>
        <v>4769.2362878633</v>
      </c>
      <c r="J7" s="33">
        <f>(60000*i_pri*N_c/N_p*i_5)/(2*PI()*R_r)*$E7/3.6</f>
        <v>4269.15450961443</v>
      </c>
      <c r="K7" s="33">
        <f>(60000*i_pri*N_c/N_p*i_6)/(2*PI()*R_r)*$E7/3.6</f>
        <v>3936.88540863029</v>
      </c>
      <c r="L7" s="31">
        <f>n_min</f>
        <v>10000</v>
      </c>
      <c r="M7" s="31">
        <f>n_max</f>
        <v>13000</v>
      </c>
    </row>
    <row r="8" spans="1:13">
      <c r="A8" s="32">
        <v>5</v>
      </c>
      <c r="B8" s="31" t="s">
        <v>23</v>
      </c>
      <c r="C8" s="31">
        <v>1.272</v>
      </c>
      <c r="D8" s="31"/>
      <c r="E8" s="31">
        <v>60</v>
      </c>
      <c r="F8" s="33">
        <f>(60000*i_pri*N_c/N_p*i_1)/(2*PI()*R_r)*E8/3.6</f>
        <v>11409.9195525827</v>
      </c>
      <c r="G8" s="33">
        <f>(60000*i_pri*N_c/N_p*i_2)/(2*PI()*R_r)*$E8/3.6</f>
        <v>8304.71377247638</v>
      </c>
      <c r="H8" s="33">
        <f>(60000*i_pri*N_c/N_p*i_3)/(2*PI()*R_r)*$E8/3.6</f>
        <v>6633.29950691979</v>
      </c>
      <c r="I8" s="33">
        <f>(60000*i_pri*N_c/N_p*i_4)/(2*PI()*R_r)*$E8/3.6</f>
        <v>5723.08354543596</v>
      </c>
      <c r="J8" s="33">
        <f>(60000*i_pri*N_c/N_p*i_5)/(2*PI()*R_r)*$E8/3.6</f>
        <v>5122.98541153732</v>
      </c>
      <c r="K8" s="33">
        <f>(60000*i_pri*N_c/N_p*i_6)/(2*PI()*R_r)*$E8/3.6</f>
        <v>4724.26249035635</v>
      </c>
      <c r="L8" s="31">
        <f>n_min</f>
        <v>10000</v>
      </c>
      <c r="M8" s="31">
        <f>n_max</f>
        <v>13000</v>
      </c>
    </row>
    <row r="9" spans="1:13">
      <c r="A9" s="32">
        <v>6</v>
      </c>
      <c r="B9" s="31" t="s">
        <v>24</v>
      </c>
      <c r="C9" s="31">
        <v>1.173</v>
      </c>
      <c r="D9" s="31"/>
      <c r="E9" s="31">
        <v>70</v>
      </c>
      <c r="F9" s="33">
        <f>(60000*i_pri*N_c/N_p*i_1)/(2*PI()*R_r)*E9/3.6</f>
        <v>13311.5728113465</v>
      </c>
      <c r="G9" s="33">
        <f>(60000*i_pri*N_c/N_p*i_2)/(2*PI()*R_r)*$E9/3.6</f>
        <v>9688.83273455578</v>
      </c>
      <c r="H9" s="33">
        <f>(60000*i_pri*N_c/N_p*i_3)/(2*PI()*R_r)*$E9/3.6</f>
        <v>7738.84942473975</v>
      </c>
      <c r="I9" s="33">
        <f>(60000*i_pri*N_c/N_p*i_4)/(2*PI()*R_r)*$E9/3.6</f>
        <v>6676.93080300862</v>
      </c>
      <c r="J9" s="33">
        <f>(60000*i_pri*N_c/N_p*i_5)/(2*PI()*R_r)*$E9/3.6</f>
        <v>5976.81631346021</v>
      </c>
      <c r="K9" s="33">
        <f>(60000*i_pri*N_c/N_p*i_6)/(2*PI()*R_r)*$E9/3.6</f>
        <v>5511.63957208241</v>
      </c>
      <c r="L9" s="31">
        <f>n_min</f>
        <v>10000</v>
      </c>
      <c r="M9" s="31">
        <f>n_max</f>
        <v>13000</v>
      </c>
    </row>
    <row r="10" spans="1:13">
      <c r="A10" s="31" t="s">
        <v>25</v>
      </c>
      <c r="B10" s="31"/>
      <c r="C10" s="31"/>
      <c r="D10" s="31"/>
      <c r="E10" s="31">
        <v>80</v>
      </c>
      <c r="F10" s="33">
        <f>(60000*i_pri*N_c/N_p*i_1)/(2*PI()*R_r)*E10/3.6</f>
        <v>15213.2260701103</v>
      </c>
      <c r="G10" s="33">
        <f>(60000*i_pri*N_c/N_p*i_2)/(2*PI()*R_r)*$E10/3.6</f>
        <v>11072.9516966352</v>
      </c>
      <c r="H10" s="33">
        <f>(60000*i_pri*N_c/N_p*i_3)/(2*PI()*R_r)*$E10/3.6</f>
        <v>8844.39934255972</v>
      </c>
      <c r="I10" s="33">
        <f>(60000*i_pri*N_c/N_p*i_4)/(2*PI()*R_r)*$E10/3.6</f>
        <v>7630.77806058127</v>
      </c>
      <c r="J10" s="33">
        <f>(60000*i_pri*N_c/N_p*i_5)/(2*PI()*R_r)*$E10/3.6</f>
        <v>6830.6472153831</v>
      </c>
      <c r="K10" s="33">
        <f>(60000*i_pri*N_c/N_p*i_6)/(2*PI()*R_r)*$E10/3.6</f>
        <v>6299.01665380847</v>
      </c>
      <c r="L10" s="31">
        <f>n_min</f>
        <v>10000</v>
      </c>
      <c r="M10" s="31">
        <f>n_max</f>
        <v>13000</v>
      </c>
    </row>
    <row r="11" spans="1:13">
      <c r="A11" s="32" t="s">
        <v>26</v>
      </c>
      <c r="B11" s="31" t="s">
        <v>27</v>
      </c>
      <c r="C11" s="31">
        <v>12</v>
      </c>
      <c r="D11" s="31"/>
      <c r="E11" s="31">
        <v>90</v>
      </c>
      <c r="F11" s="33"/>
      <c r="G11" s="33">
        <f>(60000*i_pri*N_c/N_p*i_2)/(2*PI()*R_r)*$E11/3.6</f>
        <v>12457.0706587146</v>
      </c>
      <c r="H11" s="33">
        <f>(60000*i_pri*N_c/N_p*i_3)/(2*PI()*R_r)*$E11/3.6</f>
        <v>9949.94926037968</v>
      </c>
      <c r="I11" s="33">
        <f>(60000*i_pri*N_c/N_p*i_4)/(2*PI()*R_r)*$E11/3.6</f>
        <v>8584.62531815393</v>
      </c>
      <c r="J11" s="33">
        <f>(60000*i_pri*N_c/N_p*i_5)/(2*PI()*R_r)*$E11/3.6</f>
        <v>7684.47811730598</v>
      </c>
      <c r="K11" s="33">
        <f>(60000*i_pri*N_c/N_p*i_6)/(2*PI()*R_r)*$E11/3.6</f>
        <v>7086.39373553453</v>
      </c>
      <c r="L11" s="31">
        <f>n_min</f>
        <v>10000</v>
      </c>
      <c r="M11" s="31">
        <f>n_max</f>
        <v>13000</v>
      </c>
    </row>
    <row r="12" spans="1:13">
      <c r="A12" s="32" t="s">
        <v>28</v>
      </c>
      <c r="B12" s="31" t="s">
        <v>29</v>
      </c>
      <c r="C12" s="31">
        <v>45</v>
      </c>
      <c r="D12" s="31"/>
      <c r="E12" s="31">
        <v>100</v>
      </c>
      <c r="F12" s="33"/>
      <c r="G12" s="33">
        <f>(60000*i_pri*N_c/N_p*i_2)/(2*PI()*R_r)*$E12/3.6</f>
        <v>13841.189620794</v>
      </c>
      <c r="H12" s="33">
        <f>(60000*i_pri*N_c/N_p*i_3)/(2*PI()*R_r)*$E12/3.6</f>
        <v>11055.4991781996</v>
      </c>
      <c r="I12" s="33">
        <f>(60000*i_pri*N_c/N_p*i_4)/(2*PI()*R_r)*$E12/3.6</f>
        <v>9538.47257572659</v>
      </c>
      <c r="J12" s="33">
        <f>(60000*i_pri*N_c/N_p*i_5)/(2*PI()*R_r)*$E12/3.6</f>
        <v>8538.30901922887</v>
      </c>
      <c r="K12" s="33">
        <f>(60000*i_pri*N_c/N_p*i_6)/(2*PI()*R_r)*$E12/3.6</f>
        <v>7873.77081726059</v>
      </c>
      <c r="L12" s="31">
        <f>n_min</f>
        <v>10000</v>
      </c>
      <c r="M12" s="31">
        <f>n_max</f>
        <v>13000</v>
      </c>
    </row>
    <row r="13" spans="1:13">
      <c r="A13" s="31"/>
      <c r="B13" s="31"/>
      <c r="C13" s="31"/>
      <c r="D13" s="31"/>
      <c r="E13" s="31">
        <v>110</v>
      </c>
      <c r="F13" s="33"/>
      <c r="G13" s="33">
        <f>(60000*i_pri*N_c/N_p*i_2)/(2*PI()*R_r)*$E13/3.6</f>
        <v>15225.3085828734</v>
      </c>
      <c r="H13" s="33">
        <f>(60000*i_pri*N_c/N_p*i_3)/(2*PI()*R_r)*$E13/3.6</f>
        <v>12161.0490960196</v>
      </c>
      <c r="I13" s="33">
        <f>(60000*i_pri*N_c/N_p*i_4)/(2*PI()*R_r)*$E13/3.6</f>
        <v>10492.3198332993</v>
      </c>
      <c r="J13" s="33">
        <f>(60000*i_pri*N_c/N_p*i_5)/(2*PI()*R_r)*$E13/3.6</f>
        <v>9392.13992115176</v>
      </c>
      <c r="K13" s="33">
        <f>(60000*i_pri*N_c/N_p*i_6)/(2*PI()*R_r)*$E13/3.6</f>
        <v>8661.14789898664</v>
      </c>
      <c r="L13" s="31">
        <f>n_min</f>
        <v>10000</v>
      </c>
      <c r="M13" s="31">
        <f>n_max</f>
        <v>13000</v>
      </c>
    </row>
    <row r="14" spans="1:13">
      <c r="A14" s="31" t="s">
        <v>30</v>
      </c>
      <c r="B14" s="31" t="s">
        <v>31</v>
      </c>
      <c r="C14" s="31">
        <v>270</v>
      </c>
      <c r="D14" s="31" t="s">
        <v>32</v>
      </c>
      <c r="E14" s="31">
        <v>120</v>
      </c>
      <c r="F14" s="33"/>
      <c r="G14" s="33"/>
      <c r="H14" s="33">
        <f>(60000*i_pri*N_c/N_p*i_3)/(2*PI()*R_r)*$E14/3.6</f>
        <v>13266.5990138396</v>
      </c>
      <c r="I14" s="33">
        <f>(60000*i_pri*N_c/N_p*i_4)/(2*PI()*R_r)*$E14/3.6</f>
        <v>11446.1670908719</v>
      </c>
      <c r="J14" s="33">
        <f>(60000*i_pri*N_c/N_p*i_5)/(2*PI()*R_r)*$E14/3.6</f>
        <v>10245.9708230746</v>
      </c>
      <c r="K14" s="33">
        <f>(60000*i_pri*N_c/N_p*i_6)/(2*PI()*R_r)*$E14/3.6</f>
        <v>9448.5249807127</v>
      </c>
      <c r="L14" s="31">
        <f>n_min</f>
        <v>10000</v>
      </c>
      <c r="M14" s="31">
        <f>n_max</f>
        <v>13000</v>
      </c>
    </row>
    <row r="15" spans="1:13">
      <c r="A15" s="34"/>
      <c r="B15" s="34"/>
      <c r="C15" s="34"/>
      <c r="D15" s="34"/>
      <c r="E15" s="31">
        <v>130</v>
      </c>
      <c r="F15" s="33"/>
      <c r="G15" s="33"/>
      <c r="H15" s="33">
        <f>(60000*i_pri*N_c/N_p*i_3)/(2*PI()*R_r)*$E15/3.6</f>
        <v>14372.1489316595</v>
      </c>
      <c r="I15" s="33">
        <f>(60000*i_pri*N_c/N_p*i_4)/(2*PI()*R_r)*$E15/3.6</f>
        <v>12400.0143484446</v>
      </c>
      <c r="J15" s="33">
        <f>(60000*i_pri*N_c/N_p*i_5)/(2*PI()*R_r)*$E15/3.6</f>
        <v>11099.8017249975</v>
      </c>
      <c r="K15" s="33">
        <f>(60000*i_pri*N_c/N_p*i_6)/(2*PI()*R_r)*$E15/3.6</f>
        <v>10235.9020624388</v>
      </c>
      <c r="L15" s="31">
        <f>n_min</f>
        <v>10000</v>
      </c>
      <c r="M15" s="31">
        <f>n_max</f>
        <v>13000</v>
      </c>
    </row>
    <row r="16" spans="1:13">
      <c r="A16" s="31" t="s">
        <v>33</v>
      </c>
      <c r="B16" s="31" t="s">
        <v>15</v>
      </c>
      <c r="C16" s="31">
        <v>10000</v>
      </c>
      <c r="D16" s="31" t="s">
        <v>5</v>
      </c>
      <c r="E16" s="31">
        <v>140</v>
      </c>
      <c r="F16" s="33"/>
      <c r="G16" s="33"/>
      <c r="H16" s="33">
        <f>(60000*i_pri*N_c/N_p*i_3)/(2*PI()*R_r)*$E16/3.6</f>
        <v>15477.6988494795</v>
      </c>
      <c r="I16" s="33">
        <f>(60000*i_pri*N_c/N_p*i_4)/(2*PI()*R_r)*$E16/3.6</f>
        <v>13353.8616060172</v>
      </c>
      <c r="J16" s="33">
        <f>(60000*i_pri*N_c/N_p*i_5)/(2*PI()*R_r)*$E16/3.6</f>
        <v>11953.6326269204</v>
      </c>
      <c r="K16" s="33">
        <f>(60000*i_pri*N_c/N_p*i_6)/(2*PI()*R_r)*$E16/3.6</f>
        <v>11023.2791441648</v>
      </c>
      <c r="L16" s="31">
        <f>n_min</f>
        <v>10000</v>
      </c>
      <c r="M16" s="31">
        <f>n_max</f>
        <v>13000</v>
      </c>
    </row>
    <row r="17" spans="1:13">
      <c r="A17" s="31" t="s">
        <v>34</v>
      </c>
      <c r="B17" s="31" t="s">
        <v>16</v>
      </c>
      <c r="C17" s="31">
        <v>13000</v>
      </c>
      <c r="D17" s="31" t="s">
        <v>5</v>
      </c>
      <c r="E17" s="31">
        <v>150</v>
      </c>
      <c r="F17" s="33"/>
      <c r="G17" s="33"/>
      <c r="H17" s="33"/>
      <c r="I17" s="33">
        <f>(60000*i_pri*N_c/N_p*i_4)/(2*PI()*R_r)*$E17/3.6</f>
        <v>14307.7088635899</v>
      </c>
      <c r="J17" s="33">
        <f>(60000*i_pri*N_c/N_p*i_5)/(2*PI()*R_r)*$E17/3.6</f>
        <v>12807.4635288433</v>
      </c>
      <c r="K17" s="33">
        <f>(60000*i_pri*N_c/N_p*i_6)/(2*PI()*R_r)*$E17/3.6</f>
        <v>11810.6562258909</v>
      </c>
      <c r="L17" s="31">
        <f>n_min</f>
        <v>10000</v>
      </c>
      <c r="M17" s="31">
        <f>n_max</f>
        <v>13000</v>
      </c>
    </row>
    <row r="18" spans="1:13">
      <c r="A18" s="34"/>
      <c r="B18" s="34"/>
      <c r="C18" s="34"/>
      <c r="D18" s="34"/>
      <c r="E18" s="31">
        <v>160</v>
      </c>
      <c r="F18" s="33"/>
      <c r="G18" s="33"/>
      <c r="H18" s="33"/>
      <c r="I18" s="33">
        <f>(60000*i_pri*N_c/N_p*i_4)/(2*PI()*R_r)*$E18/3.6</f>
        <v>15261.5561211625</v>
      </c>
      <c r="J18" s="33">
        <f>(60000*i_pri*N_c/N_p*i_5)/(2*PI()*R_r)*$E18/3.6</f>
        <v>13661.2944307662</v>
      </c>
      <c r="K18" s="33">
        <f>(60000*i_pri*N_c/N_p*i_6)/(2*PI()*R_r)*$E18/3.6</f>
        <v>12598.0333076169</v>
      </c>
      <c r="L18" s="31">
        <f>n_min</f>
        <v>10000</v>
      </c>
      <c r="M18" s="31">
        <f>n_max</f>
        <v>13000</v>
      </c>
    </row>
    <row r="19" spans="1:13">
      <c r="A19" s="34"/>
      <c r="B19" s="34"/>
      <c r="C19" s="34"/>
      <c r="D19" s="34"/>
      <c r="E19" s="31">
        <v>170</v>
      </c>
      <c r="F19" s="33"/>
      <c r="G19" s="33"/>
      <c r="H19" s="33"/>
      <c r="I19" s="33"/>
      <c r="J19" s="33">
        <f>(60000*i_pri*N_c/N_p*i_5)/(2*PI()*R_r)*$E19/3.6</f>
        <v>14515.1253326891</v>
      </c>
      <c r="K19" s="33">
        <f>(60000*i_pri*N_c/N_p*i_6)/(2*PI()*R_r)*$E19/3.6</f>
        <v>13385.410389343</v>
      </c>
      <c r="L19" s="31">
        <f>n_min</f>
        <v>10000</v>
      </c>
      <c r="M19" s="31">
        <f>n_max</f>
        <v>13000</v>
      </c>
    </row>
    <row r="20" spans="1:13">
      <c r="A20" s="34"/>
      <c r="B20" s="34"/>
      <c r="C20" s="34"/>
      <c r="D20" s="34"/>
      <c r="E20" s="31">
        <v>180</v>
      </c>
      <c r="F20" s="33"/>
      <c r="G20" s="33"/>
      <c r="H20" s="33"/>
      <c r="I20" s="33"/>
      <c r="J20" s="33">
        <f>(60000*i_pri*N_c/N_p*i_5)/(2*PI()*R_r)*$E20/3.6</f>
        <v>15368.956234612</v>
      </c>
      <c r="K20" s="33">
        <f>(60000*i_pri*N_c/N_p*i_6)/(2*PI()*R_r)*$E20/3.6</f>
        <v>14172.7874710691</v>
      </c>
      <c r="L20" s="31">
        <f>n_min</f>
        <v>10000</v>
      </c>
      <c r="M20" s="31">
        <f>n_max</f>
        <v>13000</v>
      </c>
    </row>
    <row r="21" spans="1:13">
      <c r="A21" s="34"/>
      <c r="B21" s="34"/>
      <c r="C21" s="34"/>
      <c r="D21" s="34"/>
      <c r="E21" s="31">
        <v>190</v>
      </c>
      <c r="F21" s="33"/>
      <c r="G21" s="33"/>
      <c r="H21" s="33"/>
      <c r="I21" s="33"/>
      <c r="J21" s="33"/>
      <c r="K21" s="33">
        <f>(60000*i_pri*N_c/N_p*i_6)/(2*PI()*R_r)*$E21/3.6</f>
        <v>14960.1645527951</v>
      </c>
      <c r="L21" s="31">
        <f>n_min</f>
        <v>10000</v>
      </c>
      <c r="M21" s="31">
        <f>n_max</f>
        <v>13000</v>
      </c>
    </row>
    <row r="22" spans="1:13">
      <c r="A22" s="34"/>
      <c r="B22" s="34"/>
      <c r="C22" s="34"/>
      <c r="D22" s="34"/>
      <c r="E22" s="31">
        <v>200</v>
      </c>
      <c r="F22" s="33"/>
      <c r="G22" s="33"/>
      <c r="H22" s="33"/>
      <c r="I22" s="33"/>
      <c r="J22" s="33"/>
      <c r="K22" s="33">
        <f>(60000*i_pri*N_c/N_p*i_6)/(2*PI()*R_r)*$E22/3.6</f>
        <v>15747.5416345212</v>
      </c>
      <c r="L22" s="31">
        <f>n_min</f>
        <v>10000</v>
      </c>
      <c r="M22" s="31">
        <f>n_max</f>
        <v>13000</v>
      </c>
    </row>
  </sheetData>
  <mergeCells count="1">
    <mergeCell ref="F1:K1"/>
  </mergeCells>
  <printOptions horizontalCentered="1" verticalCentered="1"/>
  <pageMargins left="0.39375" right="0.7875" top="0.659027777777778" bottom="1.05277777777778" header="0.39375" footer="0.7875"/>
  <pageSetup paperSize="9" scale="95" orientation="landscape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zoomScale="110" zoomScaleNormal="110" topLeftCell="A10" workbookViewId="0">
      <selection activeCell="A7" sqref="A7"/>
    </sheetView>
  </sheetViews>
  <sheetFormatPr defaultColWidth="9" defaultRowHeight="12.75"/>
  <cols>
    <col min="1" max="1" width="16.2952380952381" style="20" customWidth="1"/>
    <col min="2" max="2" width="11.5238095238095" style="20"/>
    <col min="3" max="3" width="11.5238095238095"/>
    <col min="4" max="15" width="11.5238095238095" style="21"/>
    <col min="16" max="1025" width="11.5238095238095"/>
  </cols>
  <sheetData>
    <row r="1" spans="4:15">
      <c r="D1" s="22"/>
      <c r="E1" s="22" t="s">
        <v>35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>
      <c r="A2" s="23" t="str">
        <f>Motor!A1</f>
        <v>n</v>
      </c>
      <c r="B2" s="23" t="str">
        <f>Motor!B1</f>
        <v>T</v>
      </c>
      <c r="D2" s="22">
        <v>1</v>
      </c>
      <c r="E2" s="22"/>
      <c r="F2" s="22">
        <v>2</v>
      </c>
      <c r="G2" s="22"/>
      <c r="H2" s="24">
        <v>3</v>
      </c>
      <c r="I2" s="24"/>
      <c r="J2" s="24">
        <v>4</v>
      </c>
      <c r="K2" s="24"/>
      <c r="L2" s="24">
        <v>5</v>
      </c>
      <c r="M2" s="24"/>
      <c r="N2" s="23">
        <v>6</v>
      </c>
      <c r="O2" s="23"/>
    </row>
    <row r="3" spans="1:15">
      <c r="A3" s="23" t="str">
        <f>Motor!A2</f>
        <v>rpm</v>
      </c>
      <c r="B3" s="23" t="str">
        <f>Motor!B2</f>
        <v>Nm</v>
      </c>
      <c r="D3" s="22" t="s">
        <v>14</v>
      </c>
      <c r="E3" s="22" t="s">
        <v>36</v>
      </c>
      <c r="F3" s="22" t="s">
        <v>14</v>
      </c>
      <c r="G3" s="22" t="s">
        <v>37</v>
      </c>
      <c r="H3" s="22" t="s">
        <v>14</v>
      </c>
      <c r="I3" s="22" t="s">
        <v>38</v>
      </c>
      <c r="J3" s="22" t="s">
        <v>14</v>
      </c>
      <c r="K3" s="22" t="s">
        <v>39</v>
      </c>
      <c r="L3" s="22" t="s">
        <v>14</v>
      </c>
      <c r="M3" s="22" t="s">
        <v>40</v>
      </c>
      <c r="N3" s="22" t="s">
        <v>14</v>
      </c>
      <c r="O3" s="22" t="s">
        <v>41</v>
      </c>
    </row>
    <row r="4" spans="1:15">
      <c r="A4" s="23">
        <f>Motor!A3</f>
        <v>4000</v>
      </c>
      <c r="B4" s="23">
        <f>Motor!B3</f>
        <v>33</v>
      </c>
      <c r="D4" s="25">
        <f>(2*PI()*R_r)*$A4/(60000*i_pri*N_c/N_p*i_1)*3.6</f>
        <v>21.0343288481534</v>
      </c>
      <c r="E4" s="26">
        <f>$B4*i_pri*i_1*N_c/N_p</f>
        <v>638.7635925</v>
      </c>
      <c r="F4" s="25">
        <f>(2*PI()*R_r)*$A4/(60000*i_pri*N_c/N_p*i_2)*3.6</f>
        <v>28.8992500615027</v>
      </c>
      <c r="G4" s="26">
        <f>$B4*i_pri*i_2*N_c/N_p</f>
        <v>464.924295</v>
      </c>
      <c r="H4" s="25">
        <f>(2*PI()*R_r)*$A4/(60000*i_pri*N_c/N_p*i_3)*3.6</f>
        <v>36.181089026605</v>
      </c>
      <c r="I4" s="26">
        <f>$B4*i_pri*i_3*N_c/N_p</f>
        <v>371.3532075</v>
      </c>
      <c r="J4" s="25">
        <f>(2*PI()*R_r)*$A4/(60000*i_pri*N_c/N_p*i_4)*3.6</f>
        <v>41.9354353461073</v>
      </c>
      <c r="K4" s="26">
        <f>$B4*i_pri*i_4*N_c/N_p</f>
        <v>320.3964225</v>
      </c>
      <c r="L4" s="25">
        <f>(2*PI()*R_r)*$A4/(60000*i_pri*N_c/N_p*i_5)*3.6</f>
        <v>46.8476836688824</v>
      </c>
      <c r="M4" s="26">
        <f>$B4*i_pri*i_5*N_c/N_p</f>
        <v>286.80102</v>
      </c>
      <c r="N4" s="25">
        <f>(2*PI()*R_r)*$A4/(60000*i_pri*N_c/N_p*i_6)*3.6</f>
        <v>50.801580244517</v>
      </c>
      <c r="O4" s="26">
        <f>$B4*i_pri*i_6*N_c/N_p</f>
        <v>264.4792425</v>
      </c>
    </row>
    <row r="5" spans="1:15">
      <c r="A5" s="23">
        <f>Motor!A4</f>
        <v>5000</v>
      </c>
      <c r="B5" s="23">
        <f>Motor!B4</f>
        <v>40</v>
      </c>
      <c r="D5" s="25">
        <f>(2*PI()*R_r)*$A5/(60000*i_pri*N_c/N_p*i_1)*3.6</f>
        <v>26.2929110601917</v>
      </c>
      <c r="E5" s="26">
        <f>$B5*i_pri*i_1*N_c/N_p</f>
        <v>774.2589</v>
      </c>
      <c r="F5" s="25">
        <f>(2*PI()*R_r)*$A5/(60000*i_pri*N_c/N_p*i_2)*3.6</f>
        <v>36.1240625768783</v>
      </c>
      <c r="G5" s="26">
        <f>$B5*i_pri*i_2*N_c/N_p</f>
        <v>563.5446</v>
      </c>
      <c r="H5" s="25">
        <f>(2*PI()*R_r)*$A5/(60000*i_pri*N_c/N_p*i_3)*3.6</f>
        <v>45.2263612832563</v>
      </c>
      <c r="I5" s="26">
        <f>$B5*i_pri*i_3*N_c/N_p</f>
        <v>450.1251</v>
      </c>
      <c r="J5" s="25">
        <f>(2*PI()*R_r)*$A5/(60000*i_pri*N_c/N_p*i_4)*3.6</f>
        <v>52.4192941826341</v>
      </c>
      <c r="K5" s="26">
        <f>$B5*i_pri*i_4*N_c/N_p</f>
        <v>388.3593</v>
      </c>
      <c r="L5" s="25">
        <f>(2*PI()*R_r)*$A5/(60000*i_pri*N_c/N_p*i_5)*3.6</f>
        <v>58.559604586103</v>
      </c>
      <c r="M5" s="26">
        <f>$B5*i_pri*i_5*N_c/N_p</f>
        <v>347.6376</v>
      </c>
      <c r="N5" s="25">
        <f>(2*PI()*R_r)*$A5/(60000*i_pri*N_c/N_p*i_6)*3.6</f>
        <v>63.5019753056463</v>
      </c>
      <c r="O5" s="26">
        <f>$B5*i_pri*i_6*N_c/N_p</f>
        <v>320.5809</v>
      </c>
    </row>
    <row r="6" spans="1:15">
      <c r="A6" s="23">
        <f>Motor!A5</f>
        <v>6000</v>
      </c>
      <c r="B6" s="23">
        <f>Motor!B5</f>
        <v>49</v>
      </c>
      <c r="D6" s="25">
        <f>(2*PI()*R_r)*$A6/(60000*i_pri*N_c/N_p*i_1)*3.6</f>
        <v>31.55149327223</v>
      </c>
      <c r="E6" s="26">
        <f>$B6*i_pri*i_1*N_c/N_p</f>
        <v>948.4671525</v>
      </c>
      <c r="F6" s="25">
        <f>(2*PI()*R_r)*$A6/(60000*i_pri*N_c/N_p*i_2)*3.6</f>
        <v>43.348875092254</v>
      </c>
      <c r="G6" s="26">
        <f>$B6*i_pri*i_2*N_c/N_p</f>
        <v>690.342135</v>
      </c>
      <c r="H6" s="25">
        <f>(2*PI()*R_r)*$A6/(60000*i_pri*N_c/N_p*i_3)*3.6</f>
        <v>54.2716335399075</v>
      </c>
      <c r="I6" s="26">
        <f>$B6*i_pri*i_3*N_c/N_p</f>
        <v>551.4032475</v>
      </c>
      <c r="J6" s="25">
        <f>(2*PI()*R_r)*$A6/(60000*i_pri*N_c/N_p*i_4)*3.6</f>
        <v>62.9031530191609</v>
      </c>
      <c r="K6" s="26">
        <f>$B6*i_pri*i_4*N_c/N_p</f>
        <v>475.7401425</v>
      </c>
      <c r="L6" s="25">
        <f>(2*PI()*R_r)*$A6/(60000*i_pri*N_c/N_p*i_5)*3.6</f>
        <v>70.2715255033237</v>
      </c>
      <c r="M6" s="26">
        <f>$B6*i_pri*i_5*N_c/N_p</f>
        <v>425.85606</v>
      </c>
      <c r="N6" s="25">
        <f>(2*PI()*R_r)*$A6/(60000*i_pri*N_c/N_p*i_6)*3.6</f>
        <v>76.2023703667755</v>
      </c>
      <c r="O6" s="26">
        <f>$B6*i_pri*i_6*N_c/N_p</f>
        <v>392.7116025</v>
      </c>
    </row>
    <row r="7" spans="1:15">
      <c r="A7" s="23">
        <f>Motor!A6</f>
        <v>7000</v>
      </c>
      <c r="B7" s="23">
        <f>Motor!B6</f>
        <v>52</v>
      </c>
      <c r="D7" s="25">
        <f>(2*PI()*R_r)*$A7/(60000*i_pri*N_c/N_p*i_1)*3.6</f>
        <v>36.8100754842684</v>
      </c>
      <c r="E7" s="26">
        <f>$B7*i_pri*i_1*N_c/N_p</f>
        <v>1006.53657</v>
      </c>
      <c r="F7" s="25">
        <f>(2*PI()*R_r)*$A7/(60000*i_pri*N_c/N_p*i_2)*3.6</f>
        <v>50.5736876076296</v>
      </c>
      <c r="G7" s="26">
        <f>$B7*i_pri*i_2*N_c/N_p</f>
        <v>732.60798</v>
      </c>
      <c r="H7" s="25">
        <f>(2*PI()*R_r)*$A7/(60000*i_pri*N_c/N_p*i_3)*3.6</f>
        <v>63.3169057965588</v>
      </c>
      <c r="I7" s="26">
        <f>$B7*i_pri*i_3*N_c/N_p</f>
        <v>585.16263</v>
      </c>
      <c r="J7" s="25">
        <f>(2*PI()*R_r)*$A7/(60000*i_pri*N_c/N_p*i_4)*3.6</f>
        <v>73.3870118556878</v>
      </c>
      <c r="K7" s="26">
        <f>$B7*i_pri*i_4*N_c/N_p</f>
        <v>504.86709</v>
      </c>
      <c r="L7" s="25">
        <f>(2*PI()*R_r)*$A7/(60000*i_pri*N_c/N_p*i_5)*3.6</f>
        <v>81.9834464205443</v>
      </c>
      <c r="M7" s="26">
        <f>$B7*i_pri*i_5*N_c/N_p</f>
        <v>451.92888</v>
      </c>
      <c r="N7" s="25">
        <f>(2*PI()*R_r)*$A7/(60000*i_pri*N_c/N_p*i_6)*3.6</f>
        <v>88.9027654279048</v>
      </c>
      <c r="O7" s="26">
        <f>$B7*i_pri*i_6*N_c/N_p</f>
        <v>416.75517</v>
      </c>
    </row>
    <row r="8" spans="1:15">
      <c r="A8" s="23">
        <f>Motor!A7</f>
        <v>8000</v>
      </c>
      <c r="B8" s="23">
        <f>Motor!B7</f>
        <v>53</v>
      </c>
      <c r="D8" s="25">
        <f>(2*PI()*R_r)*$A8/(60000*i_pri*N_c/N_p*i_1)*3.6</f>
        <v>42.0686576963067</v>
      </c>
      <c r="E8" s="26">
        <f>$B8*i_pri*i_1*N_c/N_p</f>
        <v>1025.8930425</v>
      </c>
      <c r="F8" s="25">
        <f>(2*PI()*R_r)*$A8/(60000*i_pri*N_c/N_p*i_2)*3.6</f>
        <v>57.7985001230053</v>
      </c>
      <c r="G8" s="26">
        <f>$B8*i_pri*i_2*N_c/N_p</f>
        <v>746.696595</v>
      </c>
      <c r="H8" s="25">
        <f>(2*PI()*R_r)*$A8/(60000*i_pri*N_c/N_p*i_3)*3.6</f>
        <v>72.36217805321</v>
      </c>
      <c r="I8" s="26">
        <f>$B8*i_pri*i_3*N_c/N_p</f>
        <v>596.4157575</v>
      </c>
      <c r="J8" s="25">
        <f>(2*PI()*R_r)*$A8/(60000*i_pri*N_c/N_p*i_4)*3.6</f>
        <v>83.8708706922146</v>
      </c>
      <c r="K8" s="26">
        <f>$B8*i_pri*i_4*N_c/N_p</f>
        <v>514.5760725</v>
      </c>
      <c r="L8" s="25">
        <f>(2*PI()*R_r)*$A8/(60000*i_pri*N_c/N_p*i_5)*3.6</f>
        <v>93.6953673377649</v>
      </c>
      <c r="M8" s="26">
        <f>$B8*i_pri*i_5*N_c/N_p</f>
        <v>460.61982</v>
      </c>
      <c r="N8" s="25">
        <f>(2*PI()*R_r)*$A8/(60000*i_pri*N_c/N_p*i_6)*3.6</f>
        <v>101.603160489034</v>
      </c>
      <c r="O8" s="26">
        <f>$B8*i_pri*i_6*N_c/N_p</f>
        <v>424.7696925</v>
      </c>
    </row>
    <row r="9" spans="1:15">
      <c r="A9" s="23">
        <f>Motor!A8</f>
        <v>9000</v>
      </c>
      <c r="B9" s="23">
        <f>Motor!B8</f>
        <v>56</v>
      </c>
      <c r="D9" s="25">
        <f>(2*PI()*R_r)*$A9/(60000*i_pri*N_c/N_p*i_1)*3.6</f>
        <v>47.3272399083451</v>
      </c>
      <c r="E9" s="26">
        <f>$B9*i_pri*i_1*N_c/N_p</f>
        <v>1083.96246</v>
      </c>
      <c r="F9" s="25">
        <f>(2*PI()*R_r)*$A9/(60000*i_pri*N_c/N_p*i_2)*3.6</f>
        <v>65.023312638381</v>
      </c>
      <c r="G9" s="26">
        <f>$B9*i_pri*i_2*N_c/N_p</f>
        <v>788.96244</v>
      </c>
      <c r="H9" s="25">
        <f>(2*PI()*R_r)*$A9/(60000*i_pri*N_c/N_p*i_3)*3.6</f>
        <v>81.4074503098613</v>
      </c>
      <c r="I9" s="26">
        <f>$B9*i_pri*i_3*N_c/N_p</f>
        <v>630.17514</v>
      </c>
      <c r="J9" s="25">
        <f>(2*PI()*R_r)*$A9/(60000*i_pri*N_c/N_p*i_4)*3.6</f>
        <v>94.3547295287414</v>
      </c>
      <c r="K9" s="26">
        <f>$B9*i_pri*i_4*N_c/N_p</f>
        <v>543.70302</v>
      </c>
      <c r="L9" s="25">
        <f>(2*PI()*R_r)*$A9/(60000*i_pri*N_c/N_p*i_5)*3.6</f>
        <v>105.407288254985</v>
      </c>
      <c r="M9" s="26">
        <f>$B9*i_pri*i_5*N_c/N_p</f>
        <v>486.69264</v>
      </c>
      <c r="N9" s="25">
        <f>(2*PI()*R_r)*$A9/(60000*i_pri*N_c/N_p*i_6)*3.6</f>
        <v>114.303555550163</v>
      </c>
      <c r="O9" s="26">
        <f>$B9*i_pri*i_6*N_c/N_p</f>
        <v>448.81326</v>
      </c>
    </row>
    <row r="10" spans="1:15">
      <c r="A10" s="23">
        <f>Motor!A9</f>
        <v>10000</v>
      </c>
      <c r="B10" s="23">
        <f>Motor!B9</f>
        <v>55</v>
      </c>
      <c r="D10" s="25">
        <f>(2*PI()*R_r)*$A10/(60000*i_pri*N_c/N_p*i_1)*3.6</f>
        <v>52.5858221203834</v>
      </c>
      <c r="E10" s="26">
        <f>$B10*i_pri*i_1*N_c/N_p</f>
        <v>1064.6059875</v>
      </c>
      <c r="F10" s="25">
        <f>(2*PI()*R_r)*$A10/(60000*i_pri*N_c/N_p*i_2)*3.6</f>
        <v>72.2481251537566</v>
      </c>
      <c r="G10" s="26">
        <f>$B10*i_pri*i_2*N_c/N_p</f>
        <v>774.873825</v>
      </c>
      <c r="H10" s="25">
        <f>(2*PI()*R_r)*$A10/(60000*i_pri*N_c/N_p*i_3)*3.6</f>
        <v>90.4527225665125</v>
      </c>
      <c r="I10" s="26">
        <f>$B10*i_pri*i_3*N_c/N_p</f>
        <v>618.9220125</v>
      </c>
      <c r="J10" s="25">
        <f>(2*PI()*R_r)*$A10/(60000*i_pri*N_c/N_p*i_4)*3.6</f>
        <v>104.838588365268</v>
      </c>
      <c r="K10" s="26">
        <f>$B10*i_pri*i_4*N_c/N_p</f>
        <v>533.9940375</v>
      </c>
      <c r="L10" s="25">
        <f>(2*PI()*R_r)*$A10/(60000*i_pri*N_c/N_p*i_5)*3.6</f>
        <v>117.119209172206</v>
      </c>
      <c r="M10" s="26">
        <f>$B10*i_pri*i_5*N_c/N_p</f>
        <v>478.0017</v>
      </c>
      <c r="N10" s="25">
        <f>(2*PI()*R_r)*$A10/(60000*i_pri*N_c/N_p*i_6)*3.6</f>
        <v>127.003950611293</v>
      </c>
      <c r="O10" s="26">
        <f>$B10*i_pri*i_6*N_c/N_p</f>
        <v>440.7987375</v>
      </c>
    </row>
    <row r="11" spans="1:15">
      <c r="A11" s="23">
        <f>Motor!A10</f>
        <v>11000</v>
      </c>
      <c r="B11" s="23">
        <f>Motor!B10</f>
        <v>53</v>
      </c>
      <c r="D11" s="25">
        <f>(2*PI()*R_r)*$A11/(60000*i_pri*N_c/N_p*i_1)*3.6</f>
        <v>57.8444043324217</v>
      </c>
      <c r="E11" s="26">
        <f>$B11*i_pri*i_1*N_c/N_p</f>
        <v>1025.8930425</v>
      </c>
      <c r="F11" s="25">
        <f>(2*PI()*R_r)*$A11/(60000*i_pri*N_c/N_p*i_2)*3.6</f>
        <v>79.4729376691323</v>
      </c>
      <c r="G11" s="26">
        <f>$B11*i_pri*i_2*N_c/N_p</f>
        <v>746.696595</v>
      </c>
      <c r="H11" s="25">
        <f>(2*PI()*R_r)*$A11/(60000*i_pri*N_c/N_p*i_3)*3.6</f>
        <v>99.4979948231638</v>
      </c>
      <c r="I11" s="26">
        <f>$B11*i_pri*i_3*N_c/N_p</f>
        <v>596.4157575</v>
      </c>
      <c r="J11" s="25">
        <f>(2*PI()*R_r)*$A11/(60000*i_pri*N_c/N_p*i_4)*3.6</f>
        <v>115.322447201795</v>
      </c>
      <c r="K11" s="26">
        <f>$B11*i_pri*i_4*N_c/N_p</f>
        <v>514.5760725</v>
      </c>
      <c r="L11" s="25">
        <f>(2*PI()*R_r)*$A11/(60000*i_pri*N_c/N_p*i_5)*3.6</f>
        <v>128.831130089427</v>
      </c>
      <c r="M11" s="26">
        <f>$B11*i_pri*i_5*N_c/N_p</f>
        <v>460.61982</v>
      </c>
      <c r="N11" s="25">
        <f>(2*PI()*R_r)*$A11/(60000*i_pri*N_c/N_p*i_6)*3.6</f>
        <v>139.704345672422</v>
      </c>
      <c r="O11" s="26">
        <f>$B11*i_pri*i_6*N_c/N_p</f>
        <v>424.7696925</v>
      </c>
    </row>
    <row r="12" spans="1:15">
      <c r="A12" s="23">
        <f>Motor!A11</f>
        <v>12000</v>
      </c>
      <c r="B12" s="23">
        <f>Motor!B11</f>
        <v>50</v>
      </c>
      <c r="D12" s="25">
        <f>(2*PI()*R_r)*$A12/(60000*i_pri*N_c/N_p*i_1)*3.6</f>
        <v>63.1029865444601</v>
      </c>
      <c r="E12" s="26">
        <f>$B12*i_pri*i_1*N_c/N_p</f>
        <v>967.823625</v>
      </c>
      <c r="F12" s="25">
        <f>(2*PI()*R_r)*$A12/(60000*i_pri*N_c/N_p*i_2)*3.6</f>
        <v>86.697750184508</v>
      </c>
      <c r="G12" s="26">
        <f>$B12*i_pri*i_2*N_c/N_p</f>
        <v>704.43075</v>
      </c>
      <c r="H12" s="25">
        <f>(2*PI()*R_r)*$A12/(60000*i_pri*N_c/N_p*i_3)*3.6</f>
        <v>108.543267079815</v>
      </c>
      <c r="I12" s="26">
        <f>$B12*i_pri*i_3*N_c/N_p</f>
        <v>562.656375</v>
      </c>
      <c r="J12" s="25">
        <f>(2*PI()*R_r)*$A12/(60000*i_pri*N_c/N_p*i_4)*3.6</f>
        <v>125.806306038322</v>
      </c>
      <c r="K12" s="26">
        <f>$B12*i_pri*i_4*N_c/N_p</f>
        <v>485.449125</v>
      </c>
      <c r="L12" s="25">
        <f>(2*PI()*R_r)*$A12/(60000*i_pri*N_c/N_p*i_5)*3.6</f>
        <v>140.543051006647</v>
      </c>
      <c r="M12" s="26">
        <f>$B12*i_pri*i_5*N_c/N_p</f>
        <v>434.547</v>
      </c>
      <c r="N12" s="25">
        <f>(2*PI()*R_r)*$A12/(60000*i_pri*N_c/N_p*i_6)*3.6</f>
        <v>152.404740733551</v>
      </c>
      <c r="O12" s="26">
        <f>$B12*i_pri*i_6*N_c/N_p</f>
        <v>400.726125</v>
      </c>
    </row>
    <row r="13" spans="1:15">
      <c r="A13" s="23">
        <f>Motor!A12</f>
        <v>13000</v>
      </c>
      <c r="B13" s="23">
        <f>Motor!B12</f>
        <v>43</v>
      </c>
      <c r="D13" s="25">
        <f>(2*PI()*R_r)*$A13/(60000*i_pri*N_c/N_p*i_1)*3.6</f>
        <v>68.3615687564984</v>
      </c>
      <c r="E13" s="26">
        <f>$B13*i_pri*i_1*N_c/N_p</f>
        <v>832.3283175</v>
      </c>
      <c r="F13" s="25">
        <f>(2*PI()*R_r)*$A13/(60000*i_pri*N_c/N_p*i_2)*3.6</f>
        <v>93.9225626998836</v>
      </c>
      <c r="G13" s="26">
        <f>$B13*i_pri*i_2*N_c/N_p</f>
        <v>605.810445</v>
      </c>
      <c r="H13" s="25">
        <f>(2*PI()*R_r)*$A13/(60000*i_pri*N_c/N_p*i_3)*3.6</f>
        <v>117.588539336466</v>
      </c>
      <c r="I13" s="26">
        <f>$B13*i_pri*i_3*N_c/N_p</f>
        <v>483.8844825</v>
      </c>
      <c r="J13" s="25">
        <f>(2*PI()*R_r)*$A13/(60000*i_pri*N_c/N_p*i_4)*3.6</f>
        <v>136.290164874849</v>
      </c>
      <c r="K13" s="26">
        <f>$B13*i_pri*i_4*N_c/N_p</f>
        <v>417.4862475</v>
      </c>
      <c r="L13" s="25">
        <f>(2*PI()*R_r)*$A13/(60000*i_pri*N_c/N_p*i_5)*3.6</f>
        <v>152.254971923868</v>
      </c>
      <c r="M13" s="26">
        <f>$B13*i_pri*i_5*N_c/N_p</f>
        <v>373.71042</v>
      </c>
      <c r="N13" s="25">
        <f>(2*PI()*R_r)*$A13/(60000*i_pri*N_c/N_p*i_6)*3.6</f>
        <v>165.10513579468</v>
      </c>
      <c r="O13" s="26">
        <f>$B13*i_pri*i_6*N_c/N_p</f>
        <v>344.6244675</v>
      </c>
    </row>
    <row r="14" spans="1:15">
      <c r="A14" s="23">
        <f>Motor!A13</f>
        <v>14000</v>
      </c>
      <c r="B14" s="23">
        <f>Motor!B13</f>
        <v>35</v>
      </c>
      <c r="D14" s="25">
        <f>(2*PI()*R_r)*$A14/(60000*i_pri*N_c/N_p*i_1)*3.6</f>
        <v>73.6201509685367</v>
      </c>
      <c r="E14" s="26">
        <f>$B14*i_pri*i_1*N_c/N_p</f>
        <v>677.4765375</v>
      </c>
      <c r="F14" s="25">
        <f>(2*PI()*R_r)*$A14/(60000*i_pri*N_c/N_p*i_2)*3.6</f>
        <v>101.147375215259</v>
      </c>
      <c r="G14" s="26">
        <f>$B14*i_pri*i_2*N_c/N_p</f>
        <v>493.101525</v>
      </c>
      <c r="H14" s="25">
        <f>(2*PI()*R_r)*$A14/(60000*i_pri*N_c/N_p*i_3)*3.6</f>
        <v>126.633811593118</v>
      </c>
      <c r="I14" s="26">
        <f>$B14*i_pri*i_3*N_c/N_p</f>
        <v>393.8594625</v>
      </c>
      <c r="J14" s="25">
        <f>(2*PI()*R_r)*$A14/(60000*i_pri*N_c/N_p*i_4)*3.6</f>
        <v>146.774023711376</v>
      </c>
      <c r="K14" s="26">
        <f>$B14*i_pri*i_4*N_c/N_p</f>
        <v>339.8143875</v>
      </c>
      <c r="L14" s="25">
        <f>(2*PI()*R_r)*$A14/(60000*i_pri*N_c/N_p*i_5)*3.6</f>
        <v>163.966892841089</v>
      </c>
      <c r="M14" s="26">
        <f>$B14*i_pri*i_5*N_c/N_p</f>
        <v>304.1829</v>
      </c>
      <c r="N14" s="25">
        <f>(2*PI()*R_r)*$A14/(60000*i_pri*N_c/N_p*i_6)*3.6</f>
        <v>177.80553085581</v>
      </c>
      <c r="O14" s="26">
        <f>$B14*i_pri*i_6*N_c/N_p</f>
        <v>280.5082875</v>
      </c>
    </row>
    <row r="15" spans="5:15"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>
      <c r="A16" s="20" t="str">
        <f>Escalonamento!A2</f>
        <v>Relações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>
      <c r="A17" s="20" t="str">
        <f>Escalonamento!A3</f>
        <v>primário</v>
      </c>
      <c r="B17" s="20">
        <f>Escalonamento!C3</f>
        <v>1.822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>
      <c r="A18" s="20">
        <f>Escalonamento!A4</f>
        <v>1</v>
      </c>
      <c r="B18" s="20">
        <f>Escalonamento!C4</f>
        <v>2.833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>
      <c r="A19" s="20">
        <f>Escalonamento!A5</f>
        <v>2</v>
      </c>
      <c r="B19" s="20">
        <f>Escalonamento!C5</f>
        <v>2.062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>
      <c r="A20" s="20">
        <f>Escalonamento!A6</f>
        <v>3</v>
      </c>
      <c r="B20" s="20">
        <f>Escalonamento!C6</f>
        <v>1.647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>
      <c r="A21" s="20">
        <f>Escalonamento!A7</f>
        <v>4</v>
      </c>
      <c r="B21" s="20">
        <f>Escalonamento!C7</f>
        <v>1.421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>
      <c r="A22" s="20">
        <f>Escalonamento!A8</f>
        <v>5</v>
      </c>
      <c r="B22" s="20">
        <f>Escalonamento!C8</f>
        <v>1.272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>
      <c r="A23" s="20">
        <f>Escalonamento!A9</f>
        <v>6</v>
      </c>
      <c r="B23" s="20">
        <f>Escalonamento!C9</f>
        <v>1.173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">
      <c r="A24" s="20" t="str">
        <f>Escalonamento!A10</f>
        <v>Número de dentes</v>
      </c>
    </row>
    <row r="25" spans="1:2">
      <c r="A25" s="20" t="str">
        <f>Escalonamento!A11</f>
        <v>pinhão</v>
      </c>
      <c r="B25" s="20">
        <f>Escalonamento!C11</f>
        <v>12</v>
      </c>
    </row>
    <row r="26" spans="1:2">
      <c r="A26" s="20" t="str">
        <f>Escalonamento!A12</f>
        <v>coroa</v>
      </c>
      <c r="B26" s="20">
        <f>Escalonamento!C12</f>
        <v>45</v>
      </c>
    </row>
    <row r="28" spans="1:3">
      <c r="A28" s="20" t="str">
        <f>Escalonamento!A14</f>
        <v>Raio da Roda</v>
      </c>
      <c r="B28" s="20">
        <f>Escalonamento!C14</f>
        <v>270</v>
      </c>
      <c r="C28" t="s">
        <v>32</v>
      </c>
    </row>
  </sheetData>
  <mergeCells count="6">
    <mergeCell ref="E1:O1"/>
    <mergeCell ref="D2:E2"/>
    <mergeCell ref="F2:G2"/>
    <mergeCell ref="H2:I2"/>
    <mergeCell ref="J2:K2"/>
    <mergeCell ref="L2:M2"/>
  </mergeCells>
  <printOptions horizontalCentered="1" verticalCentered="1"/>
  <pageMargins left="0.39375" right="0.7875" top="0.659027777777778" bottom="1.05277777777778" header="0.39375" footer="0.7875"/>
  <pageSetup paperSize="9" scale="95" firstPageNumber="0" orientation="landscape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zoomScale="90" zoomScaleNormal="90" topLeftCell="A40" workbookViewId="0">
      <selection activeCell="E53" sqref="E53"/>
    </sheetView>
  </sheetViews>
  <sheetFormatPr defaultColWidth="9.14285714285714" defaultRowHeight="12.75"/>
  <cols>
    <col min="1" max="1" width="16.7142857142857" customWidth="1"/>
    <col min="2" max="2" width="25.8571428571429" customWidth="1"/>
    <col min="3" max="3" width="22.1428571428571" customWidth="1"/>
    <col min="4" max="4" width="25" style="1" customWidth="1"/>
    <col min="5" max="5" width="12.8571428571429" customWidth="1"/>
    <col min="6" max="6" width="14.1428571428571" customWidth="1"/>
    <col min="7" max="7" width="22.1428571428571" style="2" customWidth="1"/>
    <col min="8" max="9" width="9.14285714285714" style="2"/>
  </cols>
  <sheetData>
    <row r="1" spans="1:1">
      <c r="A1" t="s">
        <v>42</v>
      </c>
    </row>
    <row r="2" spans="1:4">
      <c r="A2" t="s">
        <v>43</v>
      </c>
      <c r="B2" t="s">
        <v>44</v>
      </c>
      <c r="C2" t="s">
        <v>45</v>
      </c>
      <c r="D2" s="3">
        <v>0.9</v>
      </c>
    </row>
    <row r="4" spans="1:5">
      <c r="A4" t="s">
        <v>46</v>
      </c>
      <c r="B4" t="s">
        <v>47</v>
      </c>
      <c r="C4" t="s">
        <v>48</v>
      </c>
      <c r="D4" s="1">
        <v>0</v>
      </c>
      <c r="E4" t="s">
        <v>49</v>
      </c>
    </row>
    <row r="5" spans="2:5">
      <c r="B5" t="s">
        <v>50</v>
      </c>
      <c r="C5" t="s">
        <v>51</v>
      </c>
      <c r="D5" s="1">
        <v>2000</v>
      </c>
      <c r="E5" t="s">
        <v>52</v>
      </c>
    </row>
    <row r="6" spans="2:5">
      <c r="B6" s="4" t="s">
        <v>53</v>
      </c>
      <c r="C6" s="5" t="s">
        <v>54</v>
      </c>
      <c r="D6" s="6" t="s">
        <v>55</v>
      </c>
      <c r="E6" s="7" t="s">
        <v>52</v>
      </c>
    </row>
    <row r="8" spans="1:5">
      <c r="A8" t="s">
        <v>56</v>
      </c>
      <c r="B8" t="s">
        <v>57</v>
      </c>
      <c r="C8" t="s">
        <v>57</v>
      </c>
      <c r="D8" s="8">
        <f>D5/9.81</f>
        <v>203.873598369011</v>
      </c>
      <c r="E8" t="s">
        <v>58</v>
      </c>
    </row>
    <row r="9" spans="2:5">
      <c r="B9" t="s">
        <v>59</v>
      </c>
      <c r="C9" t="s">
        <v>60</v>
      </c>
      <c r="E9" t="s">
        <v>61</v>
      </c>
    </row>
    <row r="10" spans="2:4">
      <c r="B10" t="s">
        <v>62</v>
      </c>
      <c r="C10" t="s">
        <v>63</v>
      </c>
      <c r="D10" s="1" t="s">
        <v>64</v>
      </c>
    </row>
    <row r="11" spans="2:5">
      <c r="B11" t="s">
        <v>65</v>
      </c>
      <c r="C11" t="s">
        <v>66</v>
      </c>
      <c r="D11" s="1">
        <f>R_r</f>
        <v>270</v>
      </c>
      <c r="E11" t="s">
        <v>32</v>
      </c>
    </row>
    <row r="12" spans="2:5">
      <c r="B12" s="4" t="s">
        <v>67</v>
      </c>
      <c r="C12" s="5" t="s">
        <v>68</v>
      </c>
      <c r="D12" s="9" t="s">
        <v>69</v>
      </c>
      <c r="E12" s="7" t="s">
        <v>52</v>
      </c>
    </row>
    <row r="13" spans="7:9">
      <c r="G13" s="10"/>
      <c r="H13" s="10" t="s">
        <v>70</v>
      </c>
      <c r="I13" s="10" t="s">
        <v>71</v>
      </c>
    </row>
    <row r="14" spans="1:9">
      <c r="A14" t="s">
        <v>72</v>
      </c>
      <c r="B14" t="s">
        <v>73</v>
      </c>
      <c r="C14" t="s">
        <v>74</v>
      </c>
      <c r="D14" s="1" t="s">
        <v>75</v>
      </c>
      <c r="G14" s="10" t="s">
        <v>76</v>
      </c>
      <c r="H14" s="10">
        <v>0.015</v>
      </c>
      <c r="I14" s="10">
        <v>0.052</v>
      </c>
    </row>
    <row r="15" spans="2:9">
      <c r="B15" t="s">
        <v>77</v>
      </c>
      <c r="C15" t="s">
        <v>76</v>
      </c>
      <c r="G15" s="10" t="s">
        <v>78</v>
      </c>
      <c r="H15" s="10">
        <v>0.0258</v>
      </c>
      <c r="I15" s="10">
        <v>0.052</v>
      </c>
    </row>
    <row r="16" spans="3:4">
      <c r="C16" s="1" t="s">
        <v>70</v>
      </c>
      <c r="D16" s="1">
        <f>IF(C15="pneus normais",H14,H15)</f>
        <v>0.015</v>
      </c>
    </row>
    <row r="17" spans="3:4">
      <c r="C17" s="1" t="s">
        <v>71</v>
      </c>
      <c r="D17" s="1">
        <f>IF(C15="pneus normais",I14,I15)</f>
        <v>0.052</v>
      </c>
    </row>
    <row r="18" spans="2:5">
      <c r="B18" s="4" t="s">
        <v>79</v>
      </c>
      <c r="C18" s="5" t="s">
        <v>80</v>
      </c>
      <c r="D18" s="9" t="s">
        <v>81</v>
      </c>
      <c r="E18" s="7" t="s">
        <v>52</v>
      </c>
    </row>
    <row r="20" spans="1:8">
      <c r="A20" t="s">
        <v>82</v>
      </c>
      <c r="B20" t="s">
        <v>83</v>
      </c>
      <c r="C20" t="s">
        <v>84</v>
      </c>
      <c r="D20" s="1">
        <v>760</v>
      </c>
      <c r="E20" t="s">
        <v>85</v>
      </c>
      <c r="G20" s="11">
        <v>760</v>
      </c>
      <c r="H20" s="12" t="s">
        <v>85</v>
      </c>
    </row>
    <row r="21" spans="2:8">
      <c r="B21" t="s">
        <v>86</v>
      </c>
      <c r="C21" t="s">
        <v>87</v>
      </c>
      <c r="D21" s="1">
        <v>300</v>
      </c>
      <c r="E21" t="s">
        <v>88</v>
      </c>
      <c r="G21" s="13">
        <v>15</v>
      </c>
      <c r="H21" s="14" t="s">
        <v>89</v>
      </c>
    </row>
    <row r="22" spans="2:8">
      <c r="B22" t="s">
        <v>90</v>
      </c>
      <c r="C22" t="s">
        <v>91</v>
      </c>
      <c r="D22" s="1">
        <f>0.4647*p_atm/temp</f>
        <v>1.17724</v>
      </c>
      <c r="E22" t="s">
        <v>92</v>
      </c>
      <c r="G22" s="15">
        <v>1.22557</v>
      </c>
      <c r="H22" s="16" t="s">
        <v>92</v>
      </c>
    </row>
    <row r="23" spans="2:5">
      <c r="B23" t="s">
        <v>93</v>
      </c>
      <c r="C23" t="s">
        <v>94</v>
      </c>
      <c r="D23" s="1">
        <v>0.5</v>
      </c>
      <c r="E23" t="s">
        <v>95</v>
      </c>
    </row>
    <row r="24" spans="2:4">
      <c r="B24" t="s">
        <v>96</v>
      </c>
      <c r="C24" t="s">
        <v>97</v>
      </c>
      <c r="D24" s="1">
        <v>0.3</v>
      </c>
    </row>
    <row r="25" spans="2:5">
      <c r="B25" s="4" t="s">
        <v>98</v>
      </c>
      <c r="C25" s="5" t="s">
        <v>99</v>
      </c>
      <c r="D25" s="9" t="s">
        <v>100</v>
      </c>
      <c r="E25" s="7" t="s">
        <v>52</v>
      </c>
    </row>
    <row r="27" spans="1:6">
      <c r="A27" t="s">
        <v>101</v>
      </c>
      <c r="B27" t="s">
        <v>47</v>
      </c>
      <c r="C27" t="s">
        <v>102</v>
      </c>
      <c r="E27" t="s">
        <v>103</v>
      </c>
      <c r="F27" t="s">
        <v>104</v>
      </c>
    </row>
    <row r="28" spans="1:5">
      <c r="A28" s="17" t="s">
        <v>105</v>
      </c>
      <c r="B28" t="s">
        <v>54</v>
      </c>
      <c r="C28" t="s">
        <v>74</v>
      </c>
      <c r="D28" s="17" t="s">
        <v>80</v>
      </c>
      <c r="E28" t="s">
        <v>99</v>
      </c>
    </row>
    <row r="29" spans="1:6">
      <c r="A29" s="17">
        <v>10</v>
      </c>
      <c r="B29" s="18">
        <f>G*SIN(RADIANS(alfa))</f>
        <v>0</v>
      </c>
      <c r="C29" s="19">
        <f>a+b*((A29/3.6)/100)^2</f>
        <v>0.0150401234567901</v>
      </c>
      <c r="D29" s="18">
        <f>C29*G*COS(RADIANS(alfa))</f>
        <v>30.0802469135802</v>
      </c>
      <c r="E29" s="18">
        <f>1/2*ro*(A29/3.6)^2*A_front*Cd</f>
        <v>0.681273148148148</v>
      </c>
      <c r="F29" s="18">
        <f>SUM(B29,D29,E29)</f>
        <v>30.7615200617284</v>
      </c>
    </row>
    <row r="30" spans="1:6">
      <c r="A30" s="17">
        <v>20</v>
      </c>
      <c r="B30" s="18">
        <f>G*SIN(RADIANS(alfa))</f>
        <v>0</v>
      </c>
      <c r="C30" s="19">
        <f>a+b*((A30/3.6)/100)^2</f>
        <v>0.0151604938271605</v>
      </c>
      <c r="D30" s="18">
        <f>C30*G*COS(RADIANS(alfa))</f>
        <v>30.320987654321</v>
      </c>
      <c r="E30" s="18">
        <f>1/2*ro*(A30/3.6)^2*A_front*Cd</f>
        <v>2.72509259259259</v>
      </c>
      <c r="F30" s="18">
        <f t="shared" ref="F30:F48" si="0">SUM(B30,D30,E30)</f>
        <v>33.0460802469136</v>
      </c>
    </row>
    <row r="31" spans="1:6">
      <c r="A31" s="17">
        <v>30</v>
      </c>
      <c r="B31" s="18">
        <f>G*SIN(RADIANS(alfa))</f>
        <v>0</v>
      </c>
      <c r="C31" s="19">
        <f>a+b*((A31/3.6)/100)^2</f>
        <v>0.0153611111111111</v>
      </c>
      <c r="D31" s="18">
        <f>C31*G*COS(RADIANS(alfa))</f>
        <v>30.7222222222222</v>
      </c>
      <c r="E31" s="18">
        <f>1/2*ro*(A31/3.6)^2*A_front*Cd</f>
        <v>6.13145833333333</v>
      </c>
      <c r="F31" s="18">
        <f t="shared" si="0"/>
        <v>36.8536805555556</v>
      </c>
    </row>
    <row r="32" spans="1:6">
      <c r="A32" s="17">
        <v>40</v>
      </c>
      <c r="B32" s="18">
        <f>G*SIN(RADIANS(alfa))</f>
        <v>0</v>
      </c>
      <c r="C32" s="19">
        <f>a+b*((A32/3.6)/100)^2</f>
        <v>0.015641975308642</v>
      </c>
      <c r="D32" s="18">
        <f>C32*G*COS(RADIANS(alfa))</f>
        <v>31.2839506172839</v>
      </c>
      <c r="E32" s="18">
        <f>1/2*ro*(A32/3.6)^2*A_front*Cd</f>
        <v>10.9003703703704</v>
      </c>
      <c r="F32" s="18">
        <f t="shared" si="0"/>
        <v>42.1843209876543</v>
      </c>
    </row>
    <row r="33" spans="1:6">
      <c r="A33" s="17">
        <v>50</v>
      </c>
      <c r="B33" s="18">
        <f>G*SIN(RADIANS(alfa))</f>
        <v>0</v>
      </c>
      <c r="C33" s="19">
        <f>a+b*((A33/3.6)/100)^2</f>
        <v>0.0160030864197531</v>
      </c>
      <c r="D33" s="18">
        <f>C33*G*COS(RADIANS(alfa))</f>
        <v>32.0061728395062</v>
      </c>
      <c r="E33" s="18">
        <f>1/2*ro*(A33/3.6)^2*A_front*Cd</f>
        <v>17.0318287037037</v>
      </c>
      <c r="F33" s="18">
        <f t="shared" si="0"/>
        <v>49.0380015432099</v>
      </c>
    </row>
    <row r="34" spans="1:6">
      <c r="A34" s="17">
        <v>60</v>
      </c>
      <c r="B34" s="18">
        <f>G*SIN(RADIANS(alfa))</f>
        <v>0</v>
      </c>
      <c r="C34" s="19">
        <f>a+b*((A34/3.6)/100)^2</f>
        <v>0.0164444444444444</v>
      </c>
      <c r="D34" s="18">
        <f>C34*G*COS(RADIANS(alfa))</f>
        <v>32.8888888888889</v>
      </c>
      <c r="E34" s="18">
        <f>1/2*ro*(A34/3.6)^2*A_front*Cd</f>
        <v>24.5258333333333</v>
      </c>
      <c r="F34" s="18">
        <f t="shared" si="0"/>
        <v>57.4147222222222</v>
      </c>
    </row>
    <row r="35" spans="1:6">
      <c r="A35" s="17">
        <v>70</v>
      </c>
      <c r="B35" s="18">
        <f>G*SIN(RADIANS(alfa))</f>
        <v>0</v>
      </c>
      <c r="C35" s="19">
        <f>a+b*((A35/3.6)/100)^2</f>
        <v>0.016966049382716</v>
      </c>
      <c r="D35" s="18">
        <f>C35*G*COS(RADIANS(alfa))</f>
        <v>33.9320987654321</v>
      </c>
      <c r="E35" s="18">
        <f>1/2*ro*(A35/3.6)^2*A_front*Cd</f>
        <v>33.3823842592593</v>
      </c>
      <c r="F35" s="18">
        <f t="shared" si="0"/>
        <v>67.3144830246914</v>
      </c>
    </row>
    <row r="36" spans="1:6">
      <c r="A36" s="17">
        <v>80</v>
      </c>
      <c r="B36" s="18">
        <f>G*SIN(RADIANS(alfa))</f>
        <v>0</v>
      </c>
      <c r="C36" s="19">
        <f>a+b*((A36/3.6)/100)^2</f>
        <v>0.0175679012345679</v>
      </c>
      <c r="D36" s="18">
        <f>C36*G*COS(RADIANS(alfa))</f>
        <v>35.1358024691358</v>
      </c>
      <c r="E36" s="18">
        <f>1/2*ro*(A36/3.6)^2*A_front*Cd</f>
        <v>43.6014814814815</v>
      </c>
      <c r="F36" s="18">
        <f t="shared" si="0"/>
        <v>78.7372839506173</v>
      </c>
    </row>
    <row r="37" spans="1:6">
      <c r="A37" s="17">
        <v>90</v>
      </c>
      <c r="B37" s="18">
        <f>G*SIN(RADIANS(alfa))</f>
        <v>0</v>
      </c>
      <c r="C37" s="19">
        <f>a+b*((A37/3.6)/100)^2</f>
        <v>0.01825</v>
      </c>
      <c r="D37" s="18">
        <f>C37*G*COS(RADIANS(alfa))</f>
        <v>36.5</v>
      </c>
      <c r="E37" s="18">
        <f>1/2*ro*(A37/3.6)^2*A_front*Cd</f>
        <v>55.183125</v>
      </c>
      <c r="F37" s="18">
        <f t="shared" si="0"/>
        <v>91.683125</v>
      </c>
    </row>
    <row r="38" spans="1:6">
      <c r="A38" s="17">
        <v>100</v>
      </c>
      <c r="B38" s="18">
        <f>G*SIN(RADIANS(alfa))</f>
        <v>0</v>
      </c>
      <c r="C38" s="19">
        <f>a+b*((A38/3.6)/100)^2</f>
        <v>0.0190123456790123</v>
      </c>
      <c r="D38" s="18">
        <f>C38*G*COS(RADIANS(alfa))</f>
        <v>38.0246913580247</v>
      </c>
      <c r="E38" s="18">
        <f>1/2*ro*(A38/3.6)^2*A_front*Cd</f>
        <v>68.1273148148148</v>
      </c>
      <c r="F38" s="18">
        <f t="shared" si="0"/>
        <v>106.15200617284</v>
      </c>
    </row>
    <row r="39" spans="1:6">
      <c r="A39" s="17">
        <v>110</v>
      </c>
      <c r="B39" s="18">
        <f>G*SIN(RADIANS(alfa))</f>
        <v>0</v>
      </c>
      <c r="C39" s="19">
        <f>a+b*((A39/3.6)/100)^2</f>
        <v>0.0198549382716049</v>
      </c>
      <c r="D39" s="18">
        <f>C39*G*COS(RADIANS(alfa))</f>
        <v>39.7098765432099</v>
      </c>
      <c r="E39" s="18">
        <f>1/2*ro*(A39/3.6)^2*A_front*Cd</f>
        <v>82.4340509259259</v>
      </c>
      <c r="F39" s="18">
        <f t="shared" si="0"/>
        <v>122.143927469136</v>
      </c>
    </row>
    <row r="40" spans="1:6">
      <c r="A40" s="17">
        <v>120</v>
      </c>
      <c r="B40" s="18">
        <f>G*SIN(RADIANS(alfa))</f>
        <v>0</v>
      </c>
      <c r="C40" s="19">
        <f>a+b*((A40/3.6)/100)^2</f>
        <v>0.0207777777777778</v>
      </c>
      <c r="D40" s="18">
        <f>C40*G*COS(RADIANS(alfa))</f>
        <v>41.5555555555556</v>
      </c>
      <c r="E40" s="18">
        <f>1/2*ro*(A40/3.6)^2*A_front*Cd</f>
        <v>98.1033333333334</v>
      </c>
      <c r="F40" s="18">
        <f t="shared" si="0"/>
        <v>139.658888888889</v>
      </c>
    </row>
    <row r="41" spans="1:6">
      <c r="A41" s="17">
        <v>130</v>
      </c>
      <c r="B41" s="18">
        <f>G*SIN(RADIANS(alfa))</f>
        <v>0</v>
      </c>
      <c r="C41" s="19">
        <f>a+b*((A41/3.6)/100)^2</f>
        <v>0.0217808641975309</v>
      </c>
      <c r="D41" s="18">
        <f>C41*G*COS(RADIANS(alfa))</f>
        <v>43.5617283950617</v>
      </c>
      <c r="E41" s="18">
        <f>1/2*ro*(A41/3.6)^2*A_front*Cd</f>
        <v>115.135162037037</v>
      </c>
      <c r="F41" s="18">
        <f t="shared" si="0"/>
        <v>158.696890432099</v>
      </c>
    </row>
    <row r="42" spans="1:6">
      <c r="A42" s="17">
        <v>140</v>
      </c>
      <c r="B42" s="18">
        <f>G*SIN(RADIANS(alfa))</f>
        <v>0</v>
      </c>
      <c r="C42" s="19">
        <f>a+b*((A42/3.6)/100)^2</f>
        <v>0.0228641975308642</v>
      </c>
      <c r="D42" s="18">
        <f>C42*G*COS(RADIANS(alfa))</f>
        <v>45.7283950617284</v>
      </c>
      <c r="E42" s="18">
        <f>1/2*ro*(A42/3.6)^2*A_front*Cd</f>
        <v>133.529537037037</v>
      </c>
      <c r="F42" s="18">
        <f t="shared" si="0"/>
        <v>179.257932098765</v>
      </c>
    </row>
    <row r="43" spans="1:6">
      <c r="A43" s="17">
        <v>150</v>
      </c>
      <c r="B43" s="18">
        <f>G*SIN(RADIANS(alfa))</f>
        <v>0</v>
      </c>
      <c r="C43" s="19">
        <f>a+b*((A43/3.6)/100)^2</f>
        <v>0.0240277777777778</v>
      </c>
      <c r="D43" s="18">
        <f>C43*G*COS(RADIANS(alfa))</f>
        <v>48.0555555555555</v>
      </c>
      <c r="E43" s="18">
        <f>1/2*ro*(A43/3.6)^2*A_front*Cd</f>
        <v>153.286458333333</v>
      </c>
      <c r="F43" s="18">
        <f t="shared" si="0"/>
        <v>201.342013888889</v>
      </c>
    </row>
    <row r="44" spans="1:6">
      <c r="A44" s="17">
        <v>160</v>
      </c>
      <c r="B44" s="18">
        <f>G*SIN(RADIANS(alfa))</f>
        <v>0</v>
      </c>
      <c r="C44" s="19">
        <f>a+b*((A44/3.6)/100)^2</f>
        <v>0.0252716049382716</v>
      </c>
      <c r="D44" s="18">
        <f>C44*G*COS(RADIANS(alfa))</f>
        <v>50.5432098765432</v>
      </c>
      <c r="E44" s="18">
        <f>1/2*ro*(A44/3.6)^2*A_front*Cd</f>
        <v>174.405925925926</v>
      </c>
      <c r="F44" s="18">
        <f t="shared" si="0"/>
        <v>224.949135802469</v>
      </c>
    </row>
    <row r="45" spans="1:6">
      <c r="A45" s="17">
        <v>170</v>
      </c>
      <c r="B45" s="18">
        <f>G*SIN(RADIANS(alfa))</f>
        <v>0</v>
      </c>
      <c r="C45" s="19">
        <f>a+b*((A45/3.6)/100)^2</f>
        <v>0.0265956790123457</v>
      </c>
      <c r="D45" s="18">
        <f>C45*G*COS(RADIANS(alfa))</f>
        <v>53.1913580246914</v>
      </c>
      <c r="E45" s="18">
        <f>1/2*ro*(A45/3.6)^2*A_front*Cd</f>
        <v>196.887939814815</v>
      </c>
      <c r="F45" s="18">
        <f t="shared" si="0"/>
        <v>250.079297839506</v>
      </c>
    </row>
    <row r="46" spans="1:6">
      <c r="A46" s="17">
        <v>180</v>
      </c>
      <c r="B46" s="18">
        <f>G*SIN(RADIANS(alfa))</f>
        <v>0</v>
      </c>
      <c r="C46" s="19">
        <f>a+b*((A46/3.6)/100)^2</f>
        <v>0.028</v>
      </c>
      <c r="D46" s="18">
        <f>C46*G*COS(RADIANS(alfa))</f>
        <v>56</v>
      </c>
      <c r="E46" s="18">
        <f>1/2*ro*(A46/3.6)^2*A_front*Cd</f>
        <v>220.7325</v>
      </c>
      <c r="F46" s="18">
        <f t="shared" si="0"/>
        <v>276.7325</v>
      </c>
    </row>
    <row r="47" spans="1:6">
      <c r="A47" s="17">
        <v>190</v>
      </c>
      <c r="B47" s="18">
        <f>G*SIN(RADIANS(alfa))</f>
        <v>0</v>
      </c>
      <c r="C47" s="19">
        <f>a+b*((A47/3.6)/100)^2</f>
        <v>0.0294845679012346</v>
      </c>
      <c r="D47" s="18">
        <f>C47*G*COS(RADIANS(alfa))</f>
        <v>58.9691358024691</v>
      </c>
      <c r="E47" s="18">
        <f>1/2*ro*(A47/3.6)^2*A_front*Cd</f>
        <v>245.939606481481</v>
      </c>
      <c r="F47" s="18">
        <f t="shared" si="0"/>
        <v>304.908742283951</v>
      </c>
    </row>
    <row r="48" spans="1:6">
      <c r="A48" s="17">
        <v>200</v>
      </c>
      <c r="B48" s="18">
        <f>G*SIN(RADIANS(alfa))</f>
        <v>0</v>
      </c>
      <c r="C48" s="19">
        <f>a+b*((A48/3.6)/100)^2</f>
        <v>0.0310493827160494</v>
      </c>
      <c r="D48" s="18">
        <f>C48*G*COS(RADIANS(alfa))</f>
        <v>62.0987654320988</v>
      </c>
      <c r="E48" s="18">
        <f>1/2*ro*(A48/3.6)^2*A_front*Cd</f>
        <v>272.509259259259</v>
      </c>
      <c r="F48" s="18">
        <f t="shared" si="0"/>
        <v>334.608024691358</v>
      </c>
    </row>
  </sheetData>
  <dataValidations count="1">
    <dataValidation type="list" allowBlank="1" showInputMessage="1" showErrorMessage="1" sqref="C15">
      <formula1>$G$14:$G$15</formula1>
    </dataValidation>
  </dataValidation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LibreOffice/6.2.3.2$Linux_x86 LibreOffice_project/20$Build-2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Motor</vt:lpstr>
      <vt:lpstr>Escalonamento</vt:lpstr>
      <vt:lpstr>Torque na roda</vt:lpstr>
      <vt:lpstr>Resistências ao Movimento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alunos</cp:lastModifiedBy>
  <cp:revision>8</cp:revision>
  <dcterms:created xsi:type="dcterms:W3CDTF">2019-05-23T19:40:00Z</dcterms:created>
  <dcterms:modified xsi:type="dcterms:W3CDTF">2019-05-29T01:25:56Z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1046-10.2.0.7646</vt:lpwstr>
  </property>
</Properties>
</file>