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510" windowWidth="9720" windowHeight="7275" activeTab="0"/>
  </bookViews>
  <sheets>
    <sheet name="CHUTECALC" sheetId="1" r:id="rId1"/>
  </sheets>
  <definedNames>
    <definedName name="a" localSheetId="0">'CHUTECALC'!$C$16</definedName>
    <definedName name="a">#REF!</definedName>
    <definedName name="area_in_inches" localSheetId="0">'CHUTECALC'!$C$31</definedName>
    <definedName name="area_in_inches">#REF!</definedName>
    <definedName name="b" localSheetId="0">'CHUTECALC'!$C$17</definedName>
    <definedName name="b">#REF!</definedName>
    <definedName name="Cd" localSheetId="0">'CHUTECALC'!$J$12</definedName>
    <definedName name="Cd">#REF!</definedName>
    <definedName name="d" localSheetId="0">'CHUTECALC'!$C$19</definedName>
    <definedName name="d">#REF!</definedName>
    <definedName name="Drag_Coefficient" localSheetId="0">'CHUTECALC'!$C$12</definedName>
    <definedName name="Drag_Coefficient">#REF!</definedName>
    <definedName name="hypoteneuse" localSheetId="0">'CHUTECALC'!$C$18</definedName>
    <definedName name="hypoteneuse">#REF!</definedName>
    <definedName name="m" localSheetId="0">'CHUTECALC'!$J$7</definedName>
    <definedName name="m">#REF!</definedName>
    <definedName name="Optimal_Descent_Rate" localSheetId="0">'CHUTECALC'!$C$9</definedName>
    <definedName name="Optimal_Descent_Rate">#REF!</definedName>
    <definedName name="p" localSheetId="0">'CHUTECALC'!$J$4</definedName>
    <definedName name="p">#REF!</definedName>
    <definedName name="rho" localSheetId="0">'CHUTECALC'!$G$5</definedName>
    <definedName name="rho">#REF!</definedName>
    <definedName name="TABLE" localSheetId="0">'CHUTECALC'!$C$30:$C$30</definedName>
    <definedName name="TOP" localSheetId="0">'CHUTECALC'!$C$30:$C$30</definedName>
    <definedName name="v" localSheetId="0">'CHUTECALC'!$J$9</definedName>
    <definedName name="v">#REF!</definedName>
    <definedName name="Weight" localSheetId="0">'CHUTECALC'!$C$7</definedName>
    <definedName name="Weight">#REF!</definedName>
  </definedNames>
  <calcPr fullCalcOnLoad="1"/>
</workbook>
</file>

<file path=xl/sharedStrings.xml><?xml version="1.0" encoding="utf-8"?>
<sst xmlns="http://schemas.openxmlformats.org/spreadsheetml/2006/main" count="78" uniqueCount="39">
  <si>
    <t>Descent Rate</t>
  </si>
  <si>
    <t>pounds</t>
  </si>
  <si>
    <t>ounces</t>
  </si>
  <si>
    <t>mph</t>
  </si>
  <si>
    <t>kph</t>
  </si>
  <si>
    <t>kg</t>
  </si>
  <si>
    <t>Drag Coefficient</t>
  </si>
  <si>
    <t>Area of Chute</t>
  </si>
  <si>
    <t xml:space="preserve">square feet </t>
  </si>
  <si>
    <t>Weight</t>
  </si>
  <si>
    <t>square inches</t>
  </si>
  <si>
    <t>feet</t>
  </si>
  <si>
    <t>inches</t>
  </si>
  <si>
    <t>x (inches)</t>
  </si>
  <si>
    <t>c = (2 × b^2)^0.5 = (a/2)^0.5</t>
  </si>
  <si>
    <t>meters/second</t>
  </si>
  <si>
    <t>square meters</t>
  </si>
  <si>
    <t>meters</t>
  </si>
  <si>
    <t>kg/cubic meter</t>
  </si>
  <si>
    <t>lbs/cubic foot</t>
  </si>
  <si>
    <t>Air Density</t>
  </si>
  <si>
    <t>feet/second</t>
  </si>
  <si>
    <t>Altitude above sea level</t>
  </si>
  <si>
    <t xml:space="preserve">Round chute diameter required to achieve equivalent descent rate </t>
  </si>
  <si>
    <t xml:space="preserve">  Requires Input</t>
  </si>
  <si>
    <t xml:space="preserve">  Optional Input</t>
  </si>
  <si>
    <t xml:space="preserve">  Optional Calculation</t>
  </si>
  <si>
    <t>All other cells are calculated</t>
  </si>
  <si>
    <t>d = 1.5a</t>
  </si>
  <si>
    <t>Xf (feet)</t>
  </si>
  <si>
    <t>b = a / 2</t>
  </si>
  <si>
    <t>a = Xf × 5 -or- a = xi / 2.4</t>
  </si>
  <si>
    <t>Grid Size = a / 10</t>
  </si>
  <si>
    <t>d = b × .865</t>
  </si>
  <si>
    <t>c = b× 0.135</t>
  </si>
  <si>
    <t>METRIC</t>
  </si>
  <si>
    <t>CALCULATION</t>
  </si>
  <si>
    <t>ROUNDED NUMBERS</t>
  </si>
  <si>
    <r>
      <t>Shroudline length</t>
    </r>
    <r>
      <rPr>
        <sz val="6"/>
        <rFont val="Arial"/>
        <family val="2"/>
      </rPr>
      <t xml:space="preserve"> (times 2, + anchor)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</si>
</sst>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0000"/>
    <numFmt numFmtId="168" formatCode="0.00000000000"/>
    <numFmt numFmtId="169" formatCode="0.000000000000"/>
    <numFmt numFmtId="170" formatCode="0.0000000000000"/>
    <numFmt numFmtId="171" formatCode="0.00000000000000"/>
    <numFmt numFmtId="172" formatCode="0.000000000000000"/>
    <numFmt numFmtId="173" formatCode="0.0000000000000000"/>
    <numFmt numFmtId="174" formatCode="0.00000000000000000"/>
    <numFmt numFmtId="175" formatCode="0.000000000000000000"/>
    <numFmt numFmtId="176" formatCode="0.0000000000000000000"/>
    <numFmt numFmtId="177" formatCode="0.000000"/>
    <numFmt numFmtId="178" formatCode="0.00000"/>
    <numFmt numFmtId="179" formatCode="0.0000"/>
    <numFmt numFmtId="180" formatCode="0.00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"/>
    <numFmt numFmtId="185" formatCode="_(* #,##0.0000_);_(* \(#,##0.0000\);_(* &quot;-&quot;??_);_(@_)"/>
    <numFmt numFmtId="186" formatCode="_(* #,##0.000_);_(* \(#,##0.000\);_(* &quot;-&quot;???_);_(@_)"/>
    <numFmt numFmtId="187" formatCode="_(* #,##0.0_);_(* \(#,##0.0\);_(* &quot;-&quot;?_);_(@_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"/>
      <color indexed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4" fontId="1" fillId="0" borderId="0" xfId="0" applyNumberFormat="1" applyFont="1" applyBorder="1" applyAlignment="1">
      <alignment/>
    </xf>
    <xf numFmtId="180" fontId="1" fillId="0" borderId="0" xfId="42" applyNumberFormat="1" applyFont="1" applyBorder="1" applyAlignment="1">
      <alignment/>
    </xf>
    <xf numFmtId="2" fontId="1" fillId="0" borderId="0" xfId="0" applyNumberFormat="1" applyFont="1" applyBorder="1" applyAlignment="1">
      <alignment horizontal="right" wrapText="1"/>
    </xf>
    <xf numFmtId="184" fontId="1" fillId="0" borderId="0" xfId="0" applyNumberFormat="1" applyFont="1" applyBorder="1" applyAlignment="1">
      <alignment horizontal="right" wrapText="1"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7" xfId="0" applyFont="1" applyBorder="1" applyAlignment="1">
      <alignment/>
    </xf>
    <xf numFmtId="181" fontId="1" fillId="0" borderId="14" xfId="42" applyNumberFormat="1" applyFont="1" applyBorder="1" applyAlignment="1">
      <alignment/>
    </xf>
    <xf numFmtId="182" fontId="1" fillId="0" borderId="14" xfId="42" applyNumberFormat="1" applyFont="1" applyBorder="1" applyAlignment="1">
      <alignment/>
    </xf>
    <xf numFmtId="181" fontId="1" fillId="0" borderId="16" xfId="42" applyNumberFormat="1" applyFont="1" applyBorder="1" applyAlignment="1">
      <alignment/>
    </xf>
    <xf numFmtId="184" fontId="1" fillId="33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wrapText="1" shrinkToFit="1"/>
    </xf>
    <xf numFmtId="2" fontId="1" fillId="34" borderId="19" xfId="0" applyNumberFormat="1" applyFont="1" applyFill="1" applyBorder="1" applyAlignment="1" applyProtection="1">
      <alignment/>
      <protection locked="0"/>
    </xf>
    <xf numFmtId="2" fontId="2" fillId="0" borderId="1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4" xfId="0" applyNumberFormat="1" applyFont="1" applyBorder="1" applyAlignment="1">
      <alignment/>
    </xf>
    <xf numFmtId="2" fontId="1" fillId="0" borderId="14" xfId="42" applyNumberFormat="1" applyFont="1" applyBorder="1" applyAlignment="1">
      <alignment/>
    </xf>
    <xf numFmtId="43" fontId="1" fillId="0" borderId="0" xfId="0" applyNumberFormat="1" applyFont="1" applyAlignment="1">
      <alignment/>
    </xf>
    <xf numFmtId="184" fontId="2" fillId="0" borderId="0" xfId="0" applyNumberFormat="1" applyFont="1" applyBorder="1" applyAlignment="1">
      <alignment horizontal="right" wrapText="1"/>
    </xf>
    <xf numFmtId="181" fontId="2" fillId="0" borderId="14" xfId="42" applyNumberFormat="1" applyFont="1" applyBorder="1" applyAlignment="1">
      <alignment/>
    </xf>
    <xf numFmtId="0" fontId="1" fillId="35" borderId="20" xfId="0" applyFont="1" applyFill="1" applyBorder="1" applyAlignment="1" applyProtection="1">
      <alignment/>
      <protection locked="0"/>
    </xf>
    <xf numFmtId="0" fontId="1" fillId="35" borderId="20" xfId="0" applyNumberFormat="1" applyFont="1" applyFill="1" applyBorder="1" applyAlignment="1" applyProtection="1">
      <alignment/>
      <protection locked="0"/>
    </xf>
    <xf numFmtId="0" fontId="1" fillId="0" borderId="0" xfId="42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82" fontId="0" fillId="0" borderId="11" xfId="42" applyNumberFormat="1" applyBorder="1" applyAlignment="1">
      <alignment/>
    </xf>
    <xf numFmtId="181" fontId="0" fillId="0" borderId="14" xfId="42" applyNumberFormat="1" applyBorder="1" applyAlignment="1">
      <alignment/>
    </xf>
    <xf numFmtId="182" fontId="0" fillId="0" borderId="0" xfId="42" applyNumberFormat="1" applyAlignment="1">
      <alignment/>
    </xf>
    <xf numFmtId="0" fontId="4" fillId="0" borderId="0" xfId="0" applyFont="1" applyAlignment="1">
      <alignment/>
    </xf>
    <xf numFmtId="0" fontId="5" fillId="0" borderId="14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181" fontId="4" fillId="0" borderId="14" xfId="42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7" xfId="0" applyBorder="1" applyAlignment="1">
      <alignment horizontal="center"/>
    </xf>
    <xf numFmtId="182" fontId="0" fillId="0" borderId="17" xfId="42" applyNumberFormat="1" applyFont="1" applyBorder="1" applyAlignment="1">
      <alignment horizontal="center"/>
    </xf>
    <xf numFmtId="182" fontId="0" fillId="0" borderId="17" xfId="42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31</xdr:row>
      <xdr:rowOff>0</xdr:rowOff>
    </xdr:from>
    <xdr:to>
      <xdr:col>13</xdr:col>
      <xdr:colOff>0</xdr:colOff>
      <xdr:row>40</xdr:row>
      <xdr:rowOff>114300</xdr:rowOff>
    </xdr:to>
    <xdr:pic>
      <xdr:nvPicPr>
        <xdr:cNvPr id="1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619625"/>
          <a:ext cx="42576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zoomScalePageLayoutView="0" workbookViewId="0" topLeftCell="A1">
      <selection activeCell="O30" sqref="O30"/>
    </sheetView>
  </sheetViews>
  <sheetFormatPr defaultColWidth="9.140625" defaultRowHeight="12.75"/>
  <cols>
    <col min="1" max="1" width="24.140625" style="0" customWidth="1"/>
    <col min="2" max="2" width="1.28515625" style="0" customWidth="1"/>
    <col min="3" max="3" width="8.7109375" style="0" customWidth="1"/>
    <col min="4" max="4" width="10.8515625" style="0" bestFit="1" customWidth="1"/>
    <col min="5" max="6" width="1.28515625" style="0" customWidth="1"/>
    <col min="7" max="7" width="8.7109375" style="0" customWidth="1"/>
    <col min="8" max="8" width="10.8515625" style="0" bestFit="1" customWidth="1"/>
    <col min="9" max="9" width="1.28515625" style="0" customWidth="1"/>
    <col min="10" max="10" width="7.57421875" style="41" bestFit="1" customWidth="1"/>
    <col min="11" max="11" width="11.421875" style="0" customWidth="1"/>
    <col min="12" max="12" width="9.140625" style="0" hidden="1" customWidth="1"/>
    <col min="13" max="13" width="1.8515625" style="0" customWidth="1"/>
    <col min="14" max="14" width="2.421875" style="0" customWidth="1"/>
    <col min="16" max="16" width="15.28125" style="5" bestFit="1" customWidth="1"/>
  </cols>
  <sheetData>
    <row r="1" spans="2:11" ht="12.75">
      <c r="B1" s="53" t="s">
        <v>36</v>
      </c>
      <c r="C1" s="53"/>
      <c r="D1" s="53"/>
      <c r="F1" s="53" t="s">
        <v>37</v>
      </c>
      <c r="G1" s="53"/>
      <c r="H1" s="53"/>
      <c r="J1" s="54" t="s">
        <v>35</v>
      </c>
      <c r="K1" s="55"/>
    </row>
    <row r="2" spans="2:11" ht="12.75">
      <c r="B2" s="6"/>
      <c r="C2" s="7"/>
      <c r="D2" s="8"/>
      <c r="F2" s="6"/>
      <c r="G2" s="7"/>
      <c r="H2" s="8"/>
      <c r="J2" s="39"/>
      <c r="K2" s="8"/>
    </row>
    <row r="3" spans="1:16" s="2" customFormat="1" ht="12">
      <c r="A3" s="2" t="s">
        <v>22</v>
      </c>
      <c r="B3" s="9"/>
      <c r="C3" s="3">
        <v>1000</v>
      </c>
      <c r="D3" s="10" t="s">
        <v>11</v>
      </c>
      <c r="E3" s="5"/>
      <c r="F3" s="9"/>
      <c r="G3" s="12">
        <f>C3</f>
        <v>1000</v>
      </c>
      <c r="H3" s="10" t="s">
        <v>11</v>
      </c>
      <c r="I3" s="5"/>
      <c r="J3" s="23">
        <f>G3*0.3048</f>
        <v>304.8</v>
      </c>
      <c r="K3" s="10" t="s">
        <v>17</v>
      </c>
      <c r="L3" s="22">
        <f>G3*0.0254</f>
        <v>25.4</v>
      </c>
      <c r="P3" s="5"/>
    </row>
    <row r="4" spans="1:16" s="2" customFormat="1" ht="12">
      <c r="A4" s="2" t="s">
        <v>20</v>
      </c>
      <c r="B4" s="9"/>
      <c r="C4" s="11">
        <f>p*0.06242796</f>
        <v>0.074047089371976</v>
      </c>
      <c r="D4" s="10" t="s">
        <v>19</v>
      </c>
      <c r="E4" s="5"/>
      <c r="F4" s="9"/>
      <c r="G4" s="4">
        <f>C4</f>
        <v>0.074047089371976</v>
      </c>
      <c r="H4" s="10" t="s">
        <v>19</v>
      </c>
      <c r="I4" s="5"/>
      <c r="J4" s="23">
        <f>1.22*(1-(0.02777*(C3/1000)))</f>
        <v>1.1861206</v>
      </c>
      <c r="K4" s="10" t="s">
        <v>18</v>
      </c>
      <c r="L4" s="23">
        <f>p</f>
        <v>1.1861206</v>
      </c>
      <c r="P4" s="5"/>
    </row>
    <row r="5" spans="2:16" s="2" customFormat="1" ht="12">
      <c r="B5" s="9"/>
      <c r="C5" s="12"/>
      <c r="D5" s="10"/>
      <c r="E5" s="5"/>
      <c r="F5" s="9"/>
      <c r="G5" s="20">
        <f>J4*0.001948</f>
        <v>0.0023105629288</v>
      </c>
      <c r="H5" s="10"/>
      <c r="I5" s="5"/>
      <c r="J5" s="23"/>
      <c r="K5" s="10"/>
      <c r="L5" s="23"/>
      <c r="P5" s="5"/>
    </row>
    <row r="6" spans="1:16" s="2" customFormat="1" ht="12">
      <c r="A6" s="2" t="s">
        <v>9</v>
      </c>
      <c r="B6" s="9"/>
      <c r="C6" s="12">
        <f>C7*16</f>
        <v>176</v>
      </c>
      <c r="D6" s="10" t="s">
        <v>2</v>
      </c>
      <c r="E6" s="5"/>
      <c r="F6" s="9"/>
      <c r="G6" s="12">
        <f>G7*16</f>
        <v>176</v>
      </c>
      <c r="H6" s="10" t="s">
        <v>2</v>
      </c>
      <c r="I6" s="5"/>
      <c r="J6" s="23"/>
      <c r="K6" s="10"/>
      <c r="L6" s="23"/>
      <c r="P6" s="5"/>
    </row>
    <row r="7" spans="1:16" s="2" customFormat="1" ht="12">
      <c r="A7" s="2" t="s">
        <v>9</v>
      </c>
      <c r="B7" s="9"/>
      <c r="C7" s="3">
        <v>11</v>
      </c>
      <c r="D7" s="10" t="s">
        <v>1</v>
      </c>
      <c r="E7" s="5"/>
      <c r="F7" s="9"/>
      <c r="G7" s="35">
        <f>Weight</f>
        <v>11</v>
      </c>
      <c r="H7" s="10" t="s">
        <v>1</v>
      </c>
      <c r="I7" s="5"/>
      <c r="J7" s="23">
        <f>Weight*0.4535924</f>
        <v>4.9895164</v>
      </c>
      <c r="K7" s="10" t="s">
        <v>5</v>
      </c>
      <c r="L7" s="23">
        <f>Weight*0.4535924</f>
        <v>4.9895164</v>
      </c>
      <c r="O7" s="3"/>
      <c r="P7" s="5" t="s">
        <v>24</v>
      </c>
    </row>
    <row r="8" spans="2:16" s="2" customFormat="1" ht="12">
      <c r="B8" s="9"/>
      <c r="C8" s="12"/>
      <c r="D8" s="10"/>
      <c r="E8" s="5"/>
      <c r="F8" s="9"/>
      <c r="G8" s="12"/>
      <c r="H8" s="10"/>
      <c r="I8" s="5"/>
      <c r="J8" s="23"/>
      <c r="K8" s="10"/>
      <c r="L8" s="23"/>
      <c r="P8" s="5"/>
    </row>
    <row r="9" spans="1:16" s="2" customFormat="1" ht="12">
      <c r="A9" s="2" t="s">
        <v>0</v>
      </c>
      <c r="B9" s="9"/>
      <c r="C9" s="25">
        <v>16</v>
      </c>
      <c r="D9" s="10" t="s">
        <v>21</v>
      </c>
      <c r="E9" s="5"/>
      <c r="F9" s="9"/>
      <c r="G9" s="13">
        <f>((2*G7)/(G12*rho*G26))^0.5</f>
        <v>16.332761895919067</v>
      </c>
      <c r="H9" s="10" t="s">
        <v>21</v>
      </c>
      <c r="I9" s="5"/>
      <c r="J9" s="23">
        <f>Optimal_Descent_Rate*0.3048</f>
        <v>4.8768</v>
      </c>
      <c r="K9" s="10" t="s">
        <v>15</v>
      </c>
      <c r="L9" s="23">
        <f>G9*0.3048</f>
        <v>4.978225825876132</v>
      </c>
      <c r="O9" s="27"/>
      <c r="P9" s="5" t="s">
        <v>25</v>
      </c>
    </row>
    <row r="10" spans="2:16" s="2" customFormat="1" ht="12">
      <c r="B10" s="9"/>
      <c r="C10" s="13">
        <f>Optimal_Descent_Rate*0.6818182</f>
        <v>10.9090912</v>
      </c>
      <c r="D10" s="10" t="s">
        <v>3</v>
      </c>
      <c r="E10" s="5"/>
      <c r="F10" s="9"/>
      <c r="G10" s="13">
        <f>G9*0.6818182</f>
        <v>11.135974316904125</v>
      </c>
      <c r="H10" s="10" t="s">
        <v>3</v>
      </c>
      <c r="I10" s="5"/>
      <c r="J10" s="23">
        <f>J9*3.6</f>
        <v>17.55648</v>
      </c>
      <c r="K10" s="10" t="s">
        <v>4</v>
      </c>
      <c r="L10" s="23">
        <f>L9*1.6</f>
        <v>7.965161321401812</v>
      </c>
      <c r="P10" s="5"/>
    </row>
    <row r="11" spans="2:16" s="2" customFormat="1" ht="12">
      <c r="B11" s="9"/>
      <c r="C11" s="12"/>
      <c r="D11" s="10"/>
      <c r="E11" s="5"/>
      <c r="F11" s="9"/>
      <c r="G11" s="12"/>
      <c r="H11" s="10"/>
      <c r="I11" s="5"/>
      <c r="J11" s="23"/>
      <c r="K11" s="10"/>
      <c r="L11" s="23"/>
      <c r="O11" s="36"/>
      <c r="P11" s="5" t="s">
        <v>26</v>
      </c>
    </row>
    <row r="12" spans="1:16" s="2" customFormat="1" ht="12">
      <c r="A12" s="2" t="s">
        <v>6</v>
      </c>
      <c r="B12" s="9"/>
      <c r="C12" s="27">
        <v>1.5</v>
      </c>
      <c r="D12" s="28"/>
      <c r="E12" s="29"/>
      <c r="F12" s="30"/>
      <c r="G12" s="27">
        <f>Drag_Coefficient</f>
        <v>1.5</v>
      </c>
      <c r="H12" s="28"/>
      <c r="I12" s="29"/>
      <c r="J12" s="31">
        <f>Drag_Coefficient</f>
        <v>1.5</v>
      </c>
      <c r="K12" s="28"/>
      <c r="L12" s="31">
        <f>Cd</f>
        <v>1.5</v>
      </c>
      <c r="P12" s="5"/>
    </row>
    <row r="13" spans="2:16" s="2" customFormat="1" ht="12">
      <c r="B13" s="9"/>
      <c r="C13" s="12"/>
      <c r="D13" s="10"/>
      <c r="E13" s="5"/>
      <c r="F13" s="9"/>
      <c r="G13" s="12"/>
      <c r="H13" s="10"/>
      <c r="I13" s="5"/>
      <c r="J13" s="23"/>
      <c r="K13" s="10"/>
      <c r="L13" s="23"/>
      <c r="O13" s="5" t="s">
        <v>27</v>
      </c>
      <c r="P13" s="5"/>
    </row>
    <row r="14" spans="1:12" s="2" customFormat="1" ht="12">
      <c r="A14" s="2" t="s">
        <v>29</v>
      </c>
      <c r="B14" s="9"/>
      <c r="C14" s="14">
        <f>a/5</f>
        <v>8.18392359263228</v>
      </c>
      <c r="D14" s="10" t="s">
        <v>11</v>
      </c>
      <c r="E14" s="5"/>
      <c r="F14" s="9"/>
      <c r="G14" s="36">
        <f>ROUND(C14*2,0)/2</f>
        <v>8</v>
      </c>
      <c r="H14" s="10" t="s">
        <v>11</v>
      </c>
      <c r="I14" s="5"/>
      <c r="J14" s="23"/>
      <c r="K14" s="10"/>
      <c r="L14" s="22">
        <f>G14*0.3048</f>
        <v>2.4384</v>
      </c>
    </row>
    <row r="15" spans="1:16" s="2" customFormat="1" ht="12">
      <c r="A15" s="2" t="s">
        <v>13</v>
      </c>
      <c r="B15" s="9"/>
      <c r="C15" s="14">
        <f>C14*12</f>
        <v>98.20708311158735</v>
      </c>
      <c r="D15" s="10" t="s">
        <v>12</v>
      </c>
      <c r="E15" s="5"/>
      <c r="F15" s="9"/>
      <c r="G15" s="37">
        <f>G14*12</f>
        <v>96</v>
      </c>
      <c r="H15" s="10" t="s">
        <v>12</v>
      </c>
      <c r="I15" s="5"/>
      <c r="J15" s="22">
        <f>C14*0.3048</f>
        <v>2.494459911034319</v>
      </c>
      <c r="K15" s="10" t="s">
        <v>17</v>
      </c>
      <c r="L15" s="22"/>
      <c r="P15" s="5"/>
    </row>
    <row r="16" spans="1:12" s="2" customFormat="1" ht="15" customHeight="1">
      <c r="A16" s="2" t="s">
        <v>31</v>
      </c>
      <c r="B16" s="9"/>
      <c r="C16" s="14">
        <f>(C27/(PI()-1))^0.5</f>
        <v>40.9196179631614</v>
      </c>
      <c r="D16" s="10" t="s">
        <v>12</v>
      </c>
      <c r="E16" s="5"/>
      <c r="F16" s="9"/>
      <c r="G16" s="38">
        <f>G14*5</f>
        <v>40</v>
      </c>
      <c r="H16" s="10" t="s">
        <v>12</v>
      </c>
      <c r="I16" s="5"/>
      <c r="J16" s="22">
        <f>a*0.0254</f>
        <v>1.0393582962642995</v>
      </c>
      <c r="K16" s="10" t="s">
        <v>17</v>
      </c>
      <c r="L16" s="22">
        <f>G16*0.0254</f>
        <v>1.016</v>
      </c>
    </row>
    <row r="17" spans="1:16" s="2" customFormat="1" ht="14.25" customHeight="1">
      <c r="A17" s="2" t="s">
        <v>30</v>
      </c>
      <c r="B17" s="9"/>
      <c r="C17" s="14">
        <f>C16/2</f>
        <v>20.4598089815807</v>
      </c>
      <c r="D17" s="10" t="s">
        <v>12</v>
      </c>
      <c r="E17" s="5"/>
      <c r="F17" s="9"/>
      <c r="G17" s="38">
        <f>G16/2</f>
        <v>20</v>
      </c>
      <c r="H17" s="10" t="s">
        <v>12</v>
      </c>
      <c r="I17" s="5"/>
      <c r="J17" s="22">
        <f>b*0.0254</f>
        <v>0.5196791481321498</v>
      </c>
      <c r="K17" s="10" t="s">
        <v>17</v>
      </c>
      <c r="L17" s="22">
        <f>G17*0.0254</f>
        <v>0.508</v>
      </c>
      <c r="P17" s="5"/>
    </row>
    <row r="18" spans="1:16" s="2" customFormat="1" ht="14.25" customHeight="1" hidden="1">
      <c r="A18" s="42" t="s">
        <v>14</v>
      </c>
      <c r="B18" s="43"/>
      <c r="C18" s="44">
        <f>(2*b^2)^0.5</f>
        <v>28.93453934531429</v>
      </c>
      <c r="D18" s="45" t="s">
        <v>12</v>
      </c>
      <c r="E18" s="46"/>
      <c r="F18" s="43"/>
      <c r="G18" s="47">
        <f>(2*G17^2)^0.5</f>
        <v>28.284271247461902</v>
      </c>
      <c r="H18" s="45" t="s">
        <v>12</v>
      </c>
      <c r="I18" s="46"/>
      <c r="J18" s="48">
        <f>hypoteneuse*0.0254</f>
        <v>0.7349372993709828</v>
      </c>
      <c r="K18" s="10" t="s">
        <v>17</v>
      </c>
      <c r="L18" s="22">
        <f>G18*0.0254</f>
        <v>0.7184204896855323</v>
      </c>
      <c r="P18" s="5"/>
    </row>
    <row r="19" spans="1:16" s="2" customFormat="1" ht="14.25" customHeight="1" hidden="1">
      <c r="A19" s="42" t="s">
        <v>28</v>
      </c>
      <c r="B19" s="43"/>
      <c r="C19" s="44">
        <f>a*1.5</f>
        <v>61.3794269447421</v>
      </c>
      <c r="D19" s="45" t="s">
        <v>12</v>
      </c>
      <c r="E19" s="46"/>
      <c r="F19" s="43"/>
      <c r="G19" s="47">
        <f>G16*1.5</f>
        <v>60</v>
      </c>
      <c r="H19" s="45"/>
      <c r="I19" s="46"/>
      <c r="J19" s="48">
        <f>d*0.0254</f>
        <v>1.5590374443964492</v>
      </c>
      <c r="K19" s="10" t="s">
        <v>17</v>
      </c>
      <c r="L19" s="22">
        <f>G19*0.0254</f>
        <v>1.524</v>
      </c>
      <c r="P19" s="5"/>
    </row>
    <row r="20" spans="1:12" s="2" customFormat="1" ht="15" customHeight="1">
      <c r="A20" s="2" t="s">
        <v>34</v>
      </c>
      <c r="B20" s="9"/>
      <c r="C20" s="49">
        <f>C17*0.135</f>
        <v>2.7620742125133946</v>
      </c>
      <c r="D20" s="10" t="s">
        <v>12</v>
      </c>
      <c r="E20" s="5"/>
      <c r="F20" s="9"/>
      <c r="G20" s="38">
        <f>G17*0.135</f>
        <v>2.7</v>
      </c>
      <c r="H20" s="10" t="s">
        <v>12</v>
      </c>
      <c r="I20" s="5"/>
      <c r="J20" s="22">
        <f>C20*0.0254</f>
        <v>0.07015668499784022</v>
      </c>
      <c r="K20" s="10" t="s">
        <v>17</v>
      </c>
      <c r="L20" s="22"/>
    </row>
    <row r="21" spans="1:15" s="2" customFormat="1" ht="15" customHeight="1">
      <c r="A21" s="2" t="s">
        <v>33</v>
      </c>
      <c r="B21" s="9"/>
      <c r="C21" s="49">
        <f>C17*0.865</f>
        <v>17.697734769067306</v>
      </c>
      <c r="D21" s="10" t="s">
        <v>12</v>
      </c>
      <c r="E21" s="5"/>
      <c r="F21" s="9"/>
      <c r="G21" s="38">
        <f>G17*0.865</f>
        <v>17.3</v>
      </c>
      <c r="H21" s="10" t="s">
        <v>12</v>
      </c>
      <c r="I21" s="5"/>
      <c r="J21" s="22">
        <f>C21*0.0254</f>
        <v>0.44952246313430955</v>
      </c>
      <c r="K21" s="10" t="s">
        <v>17</v>
      </c>
      <c r="L21" s="22"/>
      <c r="O21" s="52">
        <f>2.7/G17</f>
        <v>0.135</v>
      </c>
    </row>
    <row r="22" spans="1:15" s="2" customFormat="1" ht="15" customHeight="1">
      <c r="A22" s="2" t="s">
        <v>32</v>
      </c>
      <c r="B22" s="9"/>
      <c r="C22" s="14">
        <f>a/10</f>
        <v>4.09196179631614</v>
      </c>
      <c r="D22" s="10" t="s">
        <v>12</v>
      </c>
      <c r="E22" s="5"/>
      <c r="F22" s="9"/>
      <c r="G22" s="38">
        <f>G16/10</f>
        <v>4</v>
      </c>
      <c r="H22" s="10" t="s">
        <v>12</v>
      </c>
      <c r="I22" s="5"/>
      <c r="J22" s="22">
        <f>C22*0.0254</f>
        <v>0.10393582962642994</v>
      </c>
      <c r="K22" s="10" t="s">
        <v>17</v>
      </c>
      <c r="L22" s="22"/>
      <c r="O22" s="52">
        <f>17.3/G15</f>
        <v>0.18020833333333333</v>
      </c>
    </row>
    <row r="23" spans="2:12" s="2" customFormat="1" ht="7.5" customHeight="1">
      <c r="B23" s="9"/>
      <c r="C23" s="14"/>
      <c r="D23" s="10"/>
      <c r="E23" s="5"/>
      <c r="F23" s="9"/>
      <c r="G23" s="38"/>
      <c r="H23" s="10"/>
      <c r="I23" s="5"/>
      <c r="J23" s="22"/>
      <c r="K23" s="10"/>
      <c r="L23" s="22"/>
    </row>
    <row r="24" spans="1:12" ht="12.75">
      <c r="A24" s="2" t="s">
        <v>38</v>
      </c>
      <c r="B24" s="9"/>
      <c r="C24" s="51">
        <f>+((a+b)*2)+((a+b)/12)</f>
        <v>127.87380613487937</v>
      </c>
      <c r="D24" s="10" t="s">
        <v>12</v>
      </c>
      <c r="E24" s="5"/>
      <c r="F24" s="9"/>
      <c r="G24" s="12">
        <f>+((G16+G17)*2)+((G16+G17)/12)</f>
        <v>125</v>
      </c>
      <c r="H24" s="10" t="s">
        <v>12</v>
      </c>
      <c r="I24" s="5"/>
      <c r="J24" s="50">
        <f>+((J16+J17)*2)+((J16+J17)/12)</f>
        <v>3.2479946758259364</v>
      </c>
      <c r="K24" s="10" t="s">
        <v>17</v>
      </c>
      <c r="L24" s="40"/>
    </row>
    <row r="25" spans="1:12" ht="6" customHeight="1">
      <c r="A25" s="2"/>
      <c r="B25" s="9"/>
      <c r="C25" s="12"/>
      <c r="D25" s="10"/>
      <c r="E25" s="5"/>
      <c r="F25" s="9"/>
      <c r="G25" s="12"/>
      <c r="H25" s="10"/>
      <c r="I25" s="5"/>
      <c r="J25" s="50"/>
      <c r="K25" s="10"/>
      <c r="L25" s="40"/>
    </row>
    <row r="26" spans="1:16" s="2" customFormat="1" ht="12">
      <c r="A26" s="2" t="s">
        <v>7</v>
      </c>
      <c r="B26" s="9"/>
      <c r="C26" s="15">
        <f>J26*10.76391</f>
        <v>24.902188545636687</v>
      </c>
      <c r="D26" s="10" t="s">
        <v>8</v>
      </c>
      <c r="E26" s="5"/>
      <c r="F26" s="9"/>
      <c r="G26" s="15">
        <f>G27/144</f>
        <v>23.79547392877548</v>
      </c>
      <c r="H26" s="10" t="s">
        <v>8</v>
      </c>
      <c r="I26" s="5"/>
      <c r="J26" s="22">
        <f>2*(m*9.81)/(p*Cd*v^2)</f>
        <v>2.313489108106319</v>
      </c>
      <c r="K26" s="10" t="s">
        <v>16</v>
      </c>
      <c r="L26" s="22">
        <f>2*(L7*9.81)/(L4*L12*L9^2)</f>
        <v>2.2201798811096145</v>
      </c>
      <c r="M26" s="32"/>
      <c r="N26" s="32"/>
      <c r="P26" s="5"/>
    </row>
    <row r="27" spans="2:16" s="2" customFormat="1" ht="12">
      <c r="B27" s="9"/>
      <c r="C27" s="16">
        <f>C26*144</f>
        <v>3585.9151505716827</v>
      </c>
      <c r="D27" s="10" t="s">
        <v>10</v>
      </c>
      <c r="E27" s="5"/>
      <c r="F27" s="9"/>
      <c r="G27" s="16">
        <f>2*(PI()*G16*G17-(G18^2))</f>
        <v>3426.548245743669</v>
      </c>
      <c r="H27" s="10" t="s">
        <v>10</v>
      </c>
      <c r="I27" s="5"/>
      <c r="J27" s="9"/>
      <c r="K27" s="10"/>
      <c r="L27" s="9"/>
      <c r="P27" s="5"/>
    </row>
    <row r="28" spans="2:16" s="2" customFormat="1" ht="6.75" customHeight="1">
      <c r="B28" s="9"/>
      <c r="C28" s="16"/>
      <c r="D28" s="10"/>
      <c r="E28" s="5"/>
      <c r="F28" s="9"/>
      <c r="G28" s="16"/>
      <c r="H28" s="10"/>
      <c r="I28" s="5"/>
      <c r="J28" s="9"/>
      <c r="K28" s="10"/>
      <c r="L28" s="9"/>
      <c r="P28" s="5"/>
    </row>
    <row r="29" spans="1:16" s="2" customFormat="1" ht="26.25" customHeight="1">
      <c r="A29" s="26" t="s">
        <v>23</v>
      </c>
      <c r="B29" s="9"/>
      <c r="C29" s="33">
        <f>J29/0.0254</f>
        <v>95.55866418623299</v>
      </c>
      <c r="D29" s="10" t="s">
        <v>12</v>
      </c>
      <c r="E29" s="5"/>
      <c r="F29" s="9"/>
      <c r="G29" s="33">
        <f>L29/0.0254</f>
        <v>93.61176246387032</v>
      </c>
      <c r="H29" s="10" t="s">
        <v>12</v>
      </c>
      <c r="I29" s="5"/>
      <c r="J29" s="34">
        <f>SQRT(4*(2*(m*9.81)/(p*0.75*v^2))/PI())</f>
        <v>2.427190070330318</v>
      </c>
      <c r="K29" s="10" t="s">
        <v>17</v>
      </c>
      <c r="L29" s="22">
        <f>SQRT(4*(2*(L7*9.81)/(p*0.75*L9^2))/PI())</f>
        <v>2.377738766582306</v>
      </c>
      <c r="P29" s="5"/>
    </row>
    <row r="30" spans="2:16" s="2" customFormat="1" ht="12">
      <c r="B30" s="17"/>
      <c r="C30" s="18"/>
      <c r="D30" s="19"/>
      <c r="F30" s="17"/>
      <c r="G30" s="21"/>
      <c r="H30" s="19"/>
      <c r="J30" s="24"/>
      <c r="K30" s="19"/>
      <c r="P30" s="5"/>
    </row>
    <row r="31" ht="12.75">
      <c r="G31" s="1"/>
    </row>
    <row r="32" ht="12.75">
      <c r="G32" s="1"/>
    </row>
    <row r="33" ht="12.75"/>
    <row r="34" ht="12.75"/>
    <row r="35" ht="12.75" hidden="1"/>
    <row r="36" ht="12.75"/>
    <row r="37" ht="12.75"/>
    <row r="38" ht="12.75"/>
    <row r="39" ht="12.75"/>
    <row r="40" ht="12.75"/>
  </sheetData>
  <sheetProtection/>
  <mergeCells count="3">
    <mergeCell ref="F1:H1"/>
    <mergeCell ref="B1:D1"/>
    <mergeCell ref="J1:K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 Chute Sizing</dc:title>
  <dc:subject/>
  <dc:creator>Bradley A. Vatsaas</dc:creator>
  <cp:keywords/>
  <dc:description/>
  <cp:lastModifiedBy>Honeywell</cp:lastModifiedBy>
  <cp:lastPrinted>2002-10-08T00:58:13Z</cp:lastPrinted>
  <dcterms:created xsi:type="dcterms:W3CDTF">2002-10-07T18:05:15Z</dcterms:created>
  <dcterms:modified xsi:type="dcterms:W3CDTF">2011-03-15T19:06:41Z</dcterms:modified>
  <cp:category/>
  <cp:version/>
  <cp:contentType/>
  <cp:contentStatus/>
</cp:coreProperties>
</file>