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Introduction" sheetId="1" r:id="rId1"/>
    <sheet name="English" sheetId="2" r:id="rId2"/>
    <sheet name="Metric" sheetId="3" r:id="rId3"/>
    <sheet name="Density" sheetId="4" r:id="rId4"/>
    <sheet name="Revisions" sheetId="5" r:id="rId5"/>
  </sheets>
  <definedNames>
    <definedName name="denstab">'Density'!$E$19:$Q$31</definedName>
  </definedNames>
  <calcPr fullCalcOnLoad="1"/>
</workbook>
</file>

<file path=xl/comments2.xml><?xml version="1.0" encoding="utf-8"?>
<comments xmlns="http://schemas.openxmlformats.org/spreadsheetml/2006/main">
  <authors>
    <author>Richard Nakka</author>
  </authors>
  <commentList>
    <comment ref="C12" authorId="0">
      <text>
        <r>
          <rPr>
            <b/>
            <sz val="8"/>
            <rFont val="Tahoma"/>
            <family val="0"/>
          </rPr>
          <t>Enter zero if no frustum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0"/>
          </rPr>
          <t>Type of propellant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Richard Nakka</author>
  </authors>
  <commentList>
    <comment ref="C6" authorId="0">
      <text>
        <r>
          <rPr>
            <b/>
            <sz val="8"/>
            <rFont val="Tahoma"/>
            <family val="0"/>
          </rPr>
          <t>Type of propellant</t>
        </r>
        <r>
          <rPr>
            <sz val="8"/>
            <rFont val="Tahoma"/>
            <family val="0"/>
          </rPr>
          <t xml:space="preserve">
</t>
        </r>
      </text>
    </comment>
    <comment ref="C12" authorId="0">
      <text>
        <r>
          <rPr>
            <b/>
            <sz val="8"/>
            <rFont val="Tahoma"/>
            <family val="0"/>
          </rPr>
          <t>Enter zero if no frustum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Richard Nakka</author>
  </authors>
  <commentList>
    <comment ref="E11" authorId="0">
      <text>
        <r>
          <rPr>
            <b/>
            <sz val="8"/>
            <rFont val="Tahoma"/>
            <family val="0"/>
          </rPr>
          <t>Enter acronym for other material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0"/>
          </rPr>
          <t>Enter density of other material</t>
        </r>
        <r>
          <rPr>
            <sz val="8"/>
            <rFont val="Tahoma"/>
            <family val="0"/>
          </rPr>
          <t xml:space="preserve">
</t>
        </r>
      </text>
    </comment>
    <comment ref="F31" authorId="0">
      <text>
        <r>
          <rPr>
            <b/>
            <sz val="8"/>
            <rFont val="Tahoma"/>
            <family val="0"/>
          </rPr>
          <t>Enter acronym for other propellant</t>
        </r>
        <r>
          <rPr>
            <sz val="8"/>
            <rFont val="Tahoma"/>
            <family val="0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0"/>
          </rPr>
          <t>Propellant acronym</t>
        </r>
        <r>
          <rPr>
            <sz val="8"/>
            <rFont val="Tahoma"/>
            <family val="0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0"/>
          </rPr>
          <t>Propellant type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<sst xmlns="http://schemas.openxmlformats.org/spreadsheetml/2006/main" count="242" uniqueCount="162">
  <si>
    <t>Do =</t>
  </si>
  <si>
    <t>Di =</t>
  </si>
  <si>
    <t>Df =</t>
  </si>
  <si>
    <t>Ro =</t>
  </si>
  <si>
    <t>Ri =</t>
  </si>
  <si>
    <t>Rf =</t>
  </si>
  <si>
    <t>V2 =</t>
  </si>
  <si>
    <t>V3 =</t>
  </si>
  <si>
    <t>V =</t>
  </si>
  <si>
    <t>inch</t>
  </si>
  <si>
    <t>cu.inch</t>
  </si>
  <si>
    <t>mass =</t>
  </si>
  <si>
    <t>lb</t>
  </si>
  <si>
    <t>Type =</t>
  </si>
  <si>
    <t>lb/cu.inch</t>
  </si>
  <si>
    <t>Volume of solid cylinder</t>
  </si>
  <si>
    <t>Volume of solid frustum</t>
  </si>
  <si>
    <t>Volume of core (negative)</t>
  </si>
  <si>
    <t>Ratio of actual / ideal</t>
  </si>
  <si>
    <t>Measured grain mass</t>
  </si>
  <si>
    <t>Grain outside diameter</t>
  </si>
  <si>
    <t>Grain core diameter</t>
  </si>
  <si>
    <t>Length of cylindrical portion</t>
  </si>
  <si>
    <t>Length of frustum portion</t>
  </si>
  <si>
    <t>Frustum diameter</t>
  </si>
  <si>
    <t>Grain outside radius</t>
  </si>
  <si>
    <t>Grain core radius</t>
  </si>
  <si>
    <t>Frustum end radius</t>
  </si>
  <si>
    <t>V1 =</t>
  </si>
  <si>
    <t>Actual grain density</t>
  </si>
  <si>
    <t>Ideal propellant density</t>
  </si>
  <si>
    <t>grams</t>
  </si>
  <si>
    <t>cm.</t>
  </si>
  <si>
    <t>cc</t>
  </si>
  <si>
    <t>grams/cc</t>
  </si>
  <si>
    <t>Grain net volume</t>
  </si>
  <si>
    <t>density</t>
  </si>
  <si>
    <t>KN</t>
  </si>
  <si>
    <t>SU</t>
  </si>
  <si>
    <t>DX</t>
  </si>
  <si>
    <t>SB</t>
  </si>
  <si>
    <t>(see Density worksheet)</t>
  </si>
  <si>
    <t>FR</t>
  </si>
  <si>
    <t>Other</t>
  </si>
  <si>
    <t>g/cc</t>
  </si>
  <si>
    <t>Sucrose</t>
  </si>
  <si>
    <t>Dextrose</t>
  </si>
  <si>
    <t>Sorbitol</t>
  </si>
  <si>
    <t>Fructose</t>
  </si>
  <si>
    <t>Black iron oxide</t>
  </si>
  <si>
    <t>Potassium Nitrate</t>
  </si>
  <si>
    <t>RIO</t>
  </si>
  <si>
    <t>BIO</t>
  </si>
  <si>
    <t>Sum</t>
  </si>
  <si>
    <t>Ideal</t>
  </si>
  <si>
    <t>Type</t>
  </si>
  <si>
    <t>Name</t>
  </si>
  <si>
    <t>KNDX</t>
  </si>
  <si>
    <t>KN-DX40</t>
  </si>
  <si>
    <t>KNSB</t>
  </si>
  <si>
    <t>KN-SB40</t>
  </si>
  <si>
    <t>KNSU</t>
  </si>
  <si>
    <t>KN-SU40</t>
  </si>
  <si>
    <t>KNFR</t>
  </si>
  <si>
    <t>KN-FR40</t>
  </si>
  <si>
    <t>KN-DX-RIO</t>
  </si>
  <si>
    <t>KN-SB-RIO</t>
  </si>
  <si>
    <t>KN-SU-RIO</t>
  </si>
  <si>
    <t>KN-FR-RIO</t>
  </si>
  <si>
    <t>lb/cu.in.</t>
  </si>
  <si>
    <r>
      <t xml:space="preserve">Note: Values in </t>
    </r>
    <r>
      <rPr>
        <b/>
        <sz val="10"/>
        <color indexed="12"/>
        <rFont val="Arial"/>
        <family val="2"/>
      </rPr>
      <t>blue</t>
    </r>
    <r>
      <rPr>
        <b/>
        <sz val="10"/>
        <rFont val="Arial"/>
        <family val="2"/>
      </rPr>
      <t xml:space="preserve"> font may be modified by user.</t>
    </r>
  </si>
  <si>
    <t>Component masses</t>
  </si>
  <si>
    <t>ABC</t>
  </si>
  <si>
    <r>
      <t>L</t>
    </r>
    <r>
      <rPr>
        <b/>
        <sz val="8"/>
        <rFont val="Arial"/>
        <family val="2"/>
      </rPr>
      <t>f</t>
    </r>
    <r>
      <rPr>
        <b/>
        <sz val="10"/>
        <rFont val="Arial"/>
        <family val="2"/>
      </rPr>
      <t xml:space="preserve"> =</t>
    </r>
  </si>
  <si>
    <r>
      <t>L</t>
    </r>
    <r>
      <rPr>
        <b/>
        <sz val="8"/>
        <rFont val="Arial"/>
        <family val="2"/>
      </rPr>
      <t>c</t>
    </r>
    <r>
      <rPr>
        <b/>
        <sz val="10"/>
        <rFont val="Arial"/>
        <family val="2"/>
      </rPr>
      <t xml:space="preserve"> =</t>
    </r>
  </si>
  <si>
    <t>A =</t>
  </si>
  <si>
    <t>deg.</t>
  </si>
  <si>
    <t>Frustum angle</t>
  </si>
  <si>
    <r>
      <t xml:space="preserve">Enter data in </t>
    </r>
    <r>
      <rPr>
        <i/>
        <sz val="10"/>
        <color indexed="12"/>
        <rFont val="Arial"/>
        <family val="2"/>
      </rPr>
      <t>blue</t>
    </r>
    <r>
      <rPr>
        <i/>
        <sz val="10"/>
        <rFont val="Arial"/>
        <family val="2"/>
      </rPr>
      <t xml:space="preserve"> font:</t>
    </r>
  </si>
  <si>
    <t>G R A I N   D E N S I T Y    C H E C K</t>
  </si>
  <si>
    <t>P R O P E L L A N T    I D E A L   D E N S I T I E S</t>
  </si>
  <si>
    <t>G R A I N D E N S I T Y . X L S</t>
  </si>
  <si>
    <t xml:space="preserve"> Written by:</t>
  </si>
  <si>
    <t>Richard A.Nakka</t>
  </si>
  <si>
    <t xml:space="preserve"> Version:</t>
  </si>
  <si>
    <t xml:space="preserve"> Date:</t>
  </si>
  <si>
    <t>Introduction</t>
  </si>
  <si>
    <r>
      <t xml:space="preserve">This spreadsheet allows the user to perform a </t>
    </r>
    <r>
      <rPr>
        <i/>
        <sz val="10"/>
        <rFont val="Arial"/>
        <family val="2"/>
      </rPr>
      <t>mass density check</t>
    </r>
    <r>
      <rPr>
        <sz val="10"/>
        <rFont val="Arial"/>
        <family val="0"/>
      </rPr>
      <t xml:space="preserve"> of</t>
    </r>
  </si>
  <si>
    <t>a rocket propellant grain. When a grain is cast or otherwise manufactured,</t>
  </si>
  <si>
    <t>the degree of "volumetric quality", it is useful to compare the actual grain</t>
  </si>
  <si>
    <r>
      <t xml:space="preserve">mass density to that of an </t>
    </r>
    <r>
      <rPr>
        <i/>
        <sz val="10"/>
        <rFont val="Arial"/>
        <family val="2"/>
      </rPr>
      <t>ideal grain</t>
    </r>
    <r>
      <rPr>
        <sz val="10"/>
        <rFont val="Arial"/>
        <family val="0"/>
      </rPr>
      <t>, that is, one that consists entirely of</t>
    </r>
  </si>
  <si>
    <t>propellant and is free of such flaws. Grain mass density is defined as the</t>
  </si>
  <si>
    <t xml:space="preserve">that the presence of bubbles, voids or other flaws may affect both the </t>
  </si>
  <si>
    <r>
      <t>chamber pressure</t>
    </r>
    <r>
      <rPr>
        <sz val="10"/>
        <rFont val="Arial"/>
        <family val="0"/>
      </rPr>
      <t xml:space="preserve"> developed by the motor in operation, typically resulting</t>
    </r>
  </si>
  <si>
    <t>or in an extreme case, lead to a CATO.</t>
  </si>
  <si>
    <t>SUGAR PROPELLANT GRAIN DENSITY CHECK</t>
  </si>
  <si>
    <r>
      <t xml:space="preserve">As such, the grain volume will </t>
    </r>
    <r>
      <rPr>
        <i/>
        <sz val="10"/>
        <rFont val="Arial"/>
        <family val="2"/>
      </rPr>
      <t>not</t>
    </r>
    <r>
      <rPr>
        <sz val="10"/>
        <rFont val="Arial"/>
        <family val="0"/>
      </rPr>
      <t xml:space="preserve"> consist entirely of propellant. To assess</t>
    </r>
  </si>
  <si>
    <r>
      <t>propellant burn rate</t>
    </r>
    <r>
      <rPr>
        <sz val="10"/>
        <rFont val="Arial"/>
        <family val="0"/>
      </rPr>
      <t xml:space="preserve"> and the </t>
    </r>
    <r>
      <rPr>
        <i/>
        <sz val="10"/>
        <rFont val="Arial"/>
        <family val="2"/>
      </rPr>
      <t>geometry of the burning area</t>
    </r>
    <r>
      <rPr>
        <sz val="10"/>
        <rFont val="Arial"/>
        <family val="0"/>
      </rPr>
      <t>. Both of these</t>
    </r>
  </si>
  <si>
    <t>in an increase in pressure. Such could be detrimental to the motor structure</t>
  </si>
  <si>
    <t>A grain density check is also useful for determining if a propellant grain has</t>
  </si>
  <si>
    <r>
      <t xml:space="preserve">This spreadsheet calculates the </t>
    </r>
    <r>
      <rPr>
        <i/>
        <sz val="10"/>
        <rFont val="Arial"/>
        <family val="2"/>
      </rPr>
      <t>actual grain density</t>
    </r>
    <r>
      <rPr>
        <sz val="10"/>
        <rFont val="Arial"/>
        <family val="0"/>
      </rPr>
      <t xml:space="preserve"> based on user input of</t>
    </r>
  </si>
  <si>
    <r>
      <t>grain mass and grain geometry. Also calculated is the</t>
    </r>
    <r>
      <rPr>
        <i/>
        <sz val="10"/>
        <rFont val="Arial"/>
        <family val="2"/>
      </rPr>
      <t xml:space="preserve"> ideal grain density</t>
    </r>
    <r>
      <rPr>
        <sz val="10"/>
        <rFont val="Arial"/>
        <family val="0"/>
      </rPr>
      <t xml:space="preserve"> for</t>
    </r>
  </si>
  <si>
    <t>most types of sugar propellants, including those doped with additives such</t>
  </si>
  <si>
    <r>
      <t xml:space="preserve">as oxides. The </t>
    </r>
    <r>
      <rPr>
        <i/>
        <sz val="10"/>
        <rFont val="Arial"/>
        <family val="2"/>
      </rPr>
      <t>density ratio</t>
    </r>
    <r>
      <rPr>
        <sz val="10"/>
        <rFont val="Arial"/>
        <family val="0"/>
      </rPr>
      <t xml:space="preserve"> is calculated based on the actual and ideal grain</t>
    </r>
  </si>
  <si>
    <r>
      <t xml:space="preserve">Valid grain geometry is the </t>
    </r>
    <r>
      <rPr>
        <i/>
        <sz val="10"/>
        <rFont val="Arial"/>
        <family val="2"/>
      </rPr>
      <t>hollow-cylindrical</t>
    </r>
    <r>
      <rPr>
        <sz val="10"/>
        <rFont val="Arial"/>
        <family val="0"/>
      </rPr>
      <t>, with or without a frustum.</t>
    </r>
  </si>
  <si>
    <t>If an inhibitor liner is present, this must be taken into account in the mass</t>
  </si>
  <si>
    <t>and geometry input values.</t>
  </si>
  <si>
    <t>Instructions</t>
  </si>
  <si>
    <t>In either the "English" or "Metric" worksheet, enter the actual grain mass and</t>
  </si>
  <si>
    <r>
      <t xml:space="preserve">geometric parameters. Select the </t>
    </r>
    <r>
      <rPr>
        <i/>
        <sz val="10"/>
        <rFont val="Arial"/>
        <family val="2"/>
      </rPr>
      <t>type</t>
    </r>
    <r>
      <rPr>
        <sz val="10"/>
        <rFont val="Arial"/>
        <family val="0"/>
      </rPr>
      <t xml:space="preserve"> of propellant from the "Density" worksheet,</t>
    </r>
  </si>
  <si>
    <r>
      <t xml:space="preserve">Type 1 to 13. Note that </t>
    </r>
    <r>
      <rPr>
        <i/>
        <sz val="10"/>
        <rFont val="Arial"/>
        <family val="2"/>
      </rPr>
      <t>Type 13</t>
    </r>
    <r>
      <rPr>
        <sz val="10"/>
        <rFont val="Arial"/>
        <family val="0"/>
      </rPr>
      <t xml:space="preserve"> is available for optional user inputted formulation.</t>
    </r>
  </si>
  <si>
    <t>Propellant component ideal densities</t>
  </si>
  <si>
    <t>any significant hidden voids internal to the grain.</t>
  </si>
  <si>
    <t>it will typically contain voids, air or gas bubbles, porosity, or other flaws.</t>
  </si>
  <si>
    <r>
      <t>grain mass</t>
    </r>
    <r>
      <rPr>
        <sz val="10"/>
        <rFont val="Arial"/>
        <family val="0"/>
      </rPr>
      <t xml:space="preserve"> divided by the </t>
    </r>
    <r>
      <rPr>
        <i/>
        <sz val="10"/>
        <rFont val="Arial"/>
        <family val="2"/>
      </rPr>
      <t>grain propellant volume</t>
    </r>
    <r>
      <rPr>
        <sz val="10"/>
        <rFont val="Arial"/>
        <family val="0"/>
      </rPr>
      <t>.</t>
    </r>
  </si>
  <si>
    <r>
      <t xml:space="preserve">densities. The density ratio is defined as the </t>
    </r>
    <r>
      <rPr>
        <i/>
        <sz val="10"/>
        <rFont val="Arial"/>
        <family val="2"/>
      </rPr>
      <t>actual grain density</t>
    </r>
    <r>
      <rPr>
        <sz val="10"/>
        <rFont val="Arial"/>
        <family val="0"/>
      </rPr>
      <t xml:space="preserve"> divided by</t>
    </r>
  </si>
  <si>
    <t>Comment</t>
  </si>
  <si>
    <r>
      <t xml:space="preserve">the </t>
    </r>
    <r>
      <rPr>
        <i/>
        <sz val="10"/>
        <rFont val="Arial"/>
        <family val="2"/>
      </rPr>
      <t>ideal grain density</t>
    </r>
    <r>
      <rPr>
        <sz val="10"/>
        <rFont val="Arial"/>
        <family val="0"/>
      </rPr>
      <t xml:space="preserve">, and as such, provides the degree of </t>
    </r>
    <r>
      <rPr>
        <sz val="10"/>
        <rFont val="Arial"/>
        <family val="2"/>
      </rPr>
      <t>densitometric quality</t>
    </r>
    <r>
      <rPr>
        <sz val="10"/>
        <rFont val="Arial"/>
        <family val="0"/>
      </rPr>
      <t>.</t>
    </r>
  </si>
  <si>
    <r>
      <t xml:space="preserve">It is desirable that a grain have high </t>
    </r>
    <r>
      <rPr>
        <i/>
        <sz val="10"/>
        <rFont val="Arial"/>
        <family val="2"/>
      </rPr>
      <t>densitometric quality</t>
    </r>
    <r>
      <rPr>
        <sz val="10"/>
        <rFont val="Arial"/>
        <family val="0"/>
      </rPr>
      <t>. The main reason is</t>
    </r>
  </si>
  <si>
    <t>How does one rate the densitometric quality of a grain? What is considered to be</t>
  </si>
  <si>
    <t>a good density ratio, and what is considered to be unacceptable? There is no</t>
  </si>
  <si>
    <t>straightforward answer to this. For example, if a rocket motor has been characterized</t>
  </si>
  <si>
    <t>for use with a low densitometric quality propellant (e.g. porous), there likely will not</t>
  </si>
  <si>
    <t>be any problems encountered, as long as this same quality of propellant is consistently</t>
  </si>
  <si>
    <t>used. This illustrates the primary value of a density check -- to ensure consistency</t>
  </si>
  <si>
    <t>between batches of propellant grains. This will help ensure predictable performance.</t>
  </si>
  <si>
    <t>Conversely, if a motor has been characterized for use with a high densitometric</t>
  </si>
  <si>
    <t xml:space="preserve">quality grain, and then one is produced that is of significantly lower quality (e.g. is </t>
  </si>
  <si>
    <t>porous or has voids), this substandard grain should be discarded.</t>
  </si>
  <si>
    <r>
      <t xml:space="preserve">The following is a </t>
    </r>
    <r>
      <rPr>
        <i/>
        <sz val="10"/>
        <rFont val="Arial"/>
        <family val="2"/>
      </rPr>
      <t>guideline</t>
    </r>
    <r>
      <rPr>
        <sz val="10"/>
        <rFont val="Arial"/>
        <family val="0"/>
      </rPr>
      <t xml:space="preserve"> as to the assessment of a grain based on density ratio:</t>
    </r>
  </si>
  <si>
    <t>Assessment</t>
  </si>
  <si>
    <t>Density ratio</t>
  </si>
  <si>
    <t>Low to Marginal quality, significant porosity or flaws.</t>
  </si>
  <si>
    <t>If density ratio is low due to hidden flaws, grain should be discarded.</t>
  </si>
  <si>
    <t>Fair to good quality, some porosity, voids or other flaws.</t>
  </si>
  <si>
    <t>Very good to excellent quality, essentially no voids or porosity.</t>
  </si>
  <si>
    <t>Ideal only, not realizable in practice.</t>
  </si>
  <si>
    <t>Individual circumstances may vary.</t>
  </si>
  <si>
    <t>Actual density =</t>
  </si>
  <si>
    <t>Ideal density =</t>
  </si>
  <si>
    <t>Density ratio =</t>
  </si>
  <si>
    <t>Record of Revisions</t>
  </si>
  <si>
    <t>Version</t>
  </si>
  <si>
    <t>Date</t>
  </si>
  <si>
    <t>Worksheet</t>
  </si>
  <si>
    <t>Changes</t>
  </si>
  <si>
    <t xml:space="preserve"> - </t>
  </si>
  <si>
    <t>- Original release.</t>
  </si>
  <si>
    <t>English, Metric</t>
  </si>
  <si>
    <t>- Added cell to display propellant type</t>
  </si>
  <si>
    <t>0.95 - 0.99</t>
  </si>
  <si>
    <t>0.90 - 0.94</t>
  </si>
  <si>
    <t>0.85 -  0.89</t>
  </si>
  <si>
    <t>&lt; 0.85</t>
  </si>
  <si>
    <t>Serious flaws exist. Discard</t>
  </si>
  <si>
    <t>- Modified Assessment table</t>
  </si>
  <si>
    <t>Red iron oxide</t>
  </si>
  <si>
    <t>- Modified colours in Assessment Table</t>
  </si>
  <si>
    <t>Density</t>
  </si>
  <si>
    <t>- Fixed typo.</t>
  </si>
  <si>
    <r>
      <t xml:space="preserve">affect the </t>
    </r>
    <r>
      <rPr>
        <i/>
        <sz val="10"/>
        <rFont val="Arial"/>
        <family val="2"/>
      </rPr>
      <t>performance</t>
    </r>
    <r>
      <rPr>
        <sz val="10"/>
        <rFont val="Arial"/>
        <family val="0"/>
      </rPr>
      <t xml:space="preserve"> of the motor. More importantly, these  affect the</t>
    </r>
  </si>
  <si>
    <t>1.20 (for free distribution)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</si>
</sst>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</numFmts>
  <fonts count="1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9"/>
      <color indexed="54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u val="single"/>
      <sz val="10"/>
      <color indexed="16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73" fontId="1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74" fontId="0" fillId="0" borderId="0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3" fillId="0" borderId="9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right"/>
    </xf>
    <xf numFmtId="174" fontId="1" fillId="0" borderId="9" xfId="0" applyNumberFormat="1" applyFont="1" applyFill="1" applyBorder="1" applyAlignment="1">
      <alignment horizontal="center"/>
    </xf>
    <xf numFmtId="172" fontId="1" fillId="0" borderId="9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1" fillId="0" borderId="0" xfId="0" applyFont="1" applyFill="1" applyAlignment="1">
      <alignment/>
    </xf>
    <xf numFmtId="0" fontId="2" fillId="0" borderId="9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right"/>
      <protection locked="0"/>
    </xf>
    <xf numFmtId="0" fontId="2" fillId="0" borderId="9" xfId="0" applyFont="1" applyFill="1" applyBorder="1" applyAlignment="1" applyProtection="1">
      <alignment horizontal="right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174" fontId="4" fillId="0" borderId="9" xfId="0" applyNumberFormat="1" applyFont="1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5" fillId="0" borderId="9" xfId="0" applyFont="1" applyFill="1" applyBorder="1" applyAlignment="1" applyProtection="1">
      <alignment horizontal="right"/>
      <protection/>
    </xf>
    <xf numFmtId="0" fontId="13" fillId="0" borderId="0" xfId="0" applyFont="1" applyAlignment="1">
      <alignment/>
    </xf>
    <xf numFmtId="0" fontId="14" fillId="0" borderId="1" xfId="0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 quotePrefix="1">
      <alignment/>
    </xf>
    <xf numFmtId="0" fontId="0" fillId="0" borderId="0" xfId="0" applyFill="1" applyBorder="1" applyAlignment="1" quotePrefix="1">
      <alignment/>
    </xf>
    <xf numFmtId="15" fontId="10" fillId="0" borderId="19" xfId="0" applyNumberFormat="1" applyFont="1" applyFill="1" applyBorder="1" applyAlignment="1" quotePrefix="1">
      <alignment horizontal="left"/>
    </xf>
    <xf numFmtId="0" fontId="15" fillId="2" borderId="18" xfId="0" applyFont="1" applyFill="1" applyBorder="1" applyAlignment="1">
      <alignment/>
    </xf>
    <xf numFmtId="0" fontId="15" fillId="2" borderId="12" xfId="0" applyFont="1" applyFill="1" applyBorder="1" applyAlignment="1">
      <alignment/>
    </xf>
    <xf numFmtId="0" fontId="16" fillId="2" borderId="18" xfId="0" applyFont="1" applyFill="1" applyBorder="1" applyAlignment="1">
      <alignment/>
    </xf>
    <xf numFmtId="2" fontId="1" fillId="0" borderId="9" xfId="0" applyNumberFormat="1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2" fontId="0" fillId="0" borderId="1" xfId="0" applyNumberFormat="1" applyBorder="1" applyAlignment="1">
      <alignment horizontal="left"/>
    </xf>
    <xf numFmtId="17" fontId="0" fillId="0" borderId="2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 quotePrefix="1">
      <alignment/>
    </xf>
    <xf numFmtId="2" fontId="0" fillId="0" borderId="6" xfId="0" applyNumberFormat="1" applyBorder="1" applyAlignment="1">
      <alignment horizontal="left"/>
    </xf>
    <xf numFmtId="17" fontId="0" fillId="0" borderId="7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 quotePrefix="1">
      <alignment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3" fillId="3" borderId="20" xfId="0" applyFont="1" applyFill="1" applyBorder="1" applyAlignment="1">
      <alignment horizontal="center"/>
    </xf>
    <xf numFmtId="0" fontId="12" fillId="3" borderId="2" xfId="0" applyFont="1" applyFill="1" applyBorder="1" applyAlignment="1">
      <alignment/>
    </xf>
    <xf numFmtId="0" fontId="12" fillId="3" borderId="3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12" fillId="3" borderId="7" xfId="0" applyFont="1" applyFill="1" applyBorder="1" applyAlignment="1">
      <alignment/>
    </xf>
    <xf numFmtId="0" fontId="12" fillId="3" borderId="8" xfId="0" applyFont="1" applyFill="1" applyBorder="1" applyAlignment="1">
      <alignment/>
    </xf>
    <xf numFmtId="0" fontId="17" fillId="4" borderId="20" xfId="0" applyFont="1" applyFill="1" applyBorder="1" applyAlignment="1">
      <alignment horizontal="center"/>
    </xf>
    <xf numFmtId="0" fontId="18" fillId="4" borderId="10" xfId="0" applyFont="1" applyFill="1" applyBorder="1" applyAlignment="1">
      <alignment/>
    </xf>
    <xf numFmtId="0" fontId="18" fillId="4" borderId="18" xfId="0" applyFont="1" applyFill="1" applyBorder="1" applyAlignment="1">
      <alignment/>
    </xf>
    <xf numFmtId="0" fontId="18" fillId="4" borderId="12" xfId="0" applyFont="1" applyFill="1" applyBorder="1" applyAlignment="1">
      <alignment/>
    </xf>
    <xf numFmtId="0" fontId="1" fillId="5" borderId="9" xfId="0" applyFont="1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428625</xdr:colOff>
      <xdr:row>5</xdr:row>
      <xdr:rowOff>9525</xdr:rowOff>
    </xdr:from>
    <xdr:to>
      <xdr:col>13</xdr:col>
      <xdr:colOff>523875</xdr:colOff>
      <xdr:row>13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819150"/>
          <a:ext cx="43624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438150</xdr:colOff>
      <xdr:row>15</xdr:row>
      <xdr:rowOff>0</xdr:rowOff>
    </xdr:from>
    <xdr:to>
      <xdr:col>14</xdr:col>
      <xdr:colOff>209550</xdr:colOff>
      <xdr:row>23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2428875"/>
          <a:ext cx="46482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428625</xdr:colOff>
      <xdr:row>5</xdr:row>
      <xdr:rowOff>9525</xdr:rowOff>
    </xdr:from>
    <xdr:to>
      <xdr:col>13</xdr:col>
      <xdr:colOff>523875</xdr:colOff>
      <xdr:row>13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819150"/>
          <a:ext cx="43624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447675</xdr:colOff>
      <xdr:row>15</xdr:row>
      <xdr:rowOff>28575</xdr:rowOff>
    </xdr:from>
    <xdr:to>
      <xdr:col>14</xdr:col>
      <xdr:colOff>219075</xdr:colOff>
      <xdr:row>23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2457450"/>
          <a:ext cx="46482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.00390625" style="7" customWidth="1"/>
    <col min="2" max="2" width="12.421875" style="7" customWidth="1"/>
    <col min="3" max="6" width="9.140625" style="7" customWidth="1"/>
    <col min="7" max="7" width="20.28125" style="7" customWidth="1"/>
    <col min="8" max="8" width="9.7109375" style="7" customWidth="1"/>
    <col min="9" max="9" width="9.57421875" style="7" customWidth="1"/>
    <col min="10" max="16384" width="9.140625" style="7" customWidth="1"/>
  </cols>
  <sheetData>
    <row r="2" ht="12.75">
      <c r="B2" s="2" t="s">
        <v>81</v>
      </c>
    </row>
    <row r="3" spans="2:7" ht="12.75">
      <c r="B3" s="40" t="s">
        <v>95</v>
      </c>
      <c r="F3" s="35" t="s">
        <v>82</v>
      </c>
      <c r="G3" s="36" t="s">
        <v>83</v>
      </c>
    </row>
    <row r="4" spans="6:7" ht="12.75">
      <c r="F4" s="37" t="s">
        <v>84</v>
      </c>
      <c r="G4" s="38" t="s">
        <v>161</v>
      </c>
    </row>
    <row r="5" spans="6:7" ht="12.75">
      <c r="F5" s="39" t="s">
        <v>85</v>
      </c>
      <c r="G5" s="62">
        <v>38672</v>
      </c>
    </row>
    <row r="6" ht="12.75">
      <c r="B6" s="2" t="s">
        <v>86</v>
      </c>
    </row>
    <row r="8" ht="12.75">
      <c r="B8" s="7" t="s">
        <v>87</v>
      </c>
    </row>
    <row r="9" ht="12.75">
      <c r="B9" s="7" t="s">
        <v>88</v>
      </c>
    </row>
    <row r="10" ht="12.75">
      <c r="B10" s="7" t="s">
        <v>113</v>
      </c>
    </row>
    <row r="11" ht="12.75">
      <c r="B11" s="7" t="s">
        <v>96</v>
      </c>
    </row>
    <row r="12" ht="12.75">
      <c r="B12" s="7" t="s">
        <v>89</v>
      </c>
    </row>
    <row r="13" ht="12.75">
      <c r="B13" s="7" t="s">
        <v>90</v>
      </c>
    </row>
    <row r="14" ht="12.75">
      <c r="B14" s="7" t="s">
        <v>91</v>
      </c>
    </row>
    <row r="15" ht="12.75">
      <c r="B15" s="34" t="s">
        <v>114</v>
      </c>
    </row>
    <row r="17" ht="12.75">
      <c r="B17" s="7" t="s">
        <v>118</v>
      </c>
    </row>
    <row r="18" ht="12.75">
      <c r="B18" s="7" t="s">
        <v>92</v>
      </c>
    </row>
    <row r="19" ht="12.75">
      <c r="B19" s="34" t="s">
        <v>97</v>
      </c>
    </row>
    <row r="20" ht="12.75">
      <c r="B20" s="7" t="s">
        <v>160</v>
      </c>
    </row>
    <row r="21" ht="12.75">
      <c r="B21" s="34" t="s">
        <v>93</v>
      </c>
    </row>
    <row r="22" ht="12.75">
      <c r="B22" s="7" t="s">
        <v>98</v>
      </c>
    </row>
    <row r="23" ht="12.75">
      <c r="B23" s="7" t="s">
        <v>94</v>
      </c>
    </row>
    <row r="25" ht="12.75">
      <c r="B25" s="7" t="s">
        <v>99</v>
      </c>
    </row>
    <row r="26" ht="12.75">
      <c r="B26" s="7" t="s">
        <v>112</v>
      </c>
    </row>
    <row r="28" ht="12.75">
      <c r="B28" s="7" t="s">
        <v>100</v>
      </c>
    </row>
    <row r="29" ht="12.75">
      <c r="B29" s="7" t="s">
        <v>101</v>
      </c>
    </row>
    <row r="30" ht="12.75">
      <c r="B30" s="7" t="s">
        <v>102</v>
      </c>
    </row>
    <row r="31" ht="12.75">
      <c r="B31" s="7" t="s">
        <v>103</v>
      </c>
    </row>
    <row r="32" ht="12.75">
      <c r="B32" s="7" t="s">
        <v>115</v>
      </c>
    </row>
    <row r="33" ht="12.75">
      <c r="B33" s="7" t="s">
        <v>117</v>
      </c>
    </row>
    <row r="35" ht="12.75">
      <c r="B35" s="7" t="s">
        <v>104</v>
      </c>
    </row>
    <row r="36" ht="12.75">
      <c r="B36" s="7" t="s">
        <v>105</v>
      </c>
    </row>
    <row r="37" ht="12.75">
      <c r="B37" s="7" t="s">
        <v>106</v>
      </c>
    </row>
    <row r="39" ht="12.75">
      <c r="B39" s="2" t="s">
        <v>107</v>
      </c>
    </row>
    <row r="41" ht="12.75">
      <c r="B41" s="7" t="s">
        <v>108</v>
      </c>
    </row>
    <row r="42" ht="12.75">
      <c r="B42" s="7" t="s">
        <v>109</v>
      </c>
    </row>
    <row r="43" ht="12.75">
      <c r="B43" s="7" t="s">
        <v>110</v>
      </c>
    </row>
    <row r="45" ht="12.75">
      <c r="B45" s="2" t="s">
        <v>116</v>
      </c>
    </row>
    <row r="47" ht="12.75">
      <c r="B47" s="7" t="s">
        <v>119</v>
      </c>
    </row>
    <row r="48" ht="12.75">
      <c r="B48" s="7" t="s">
        <v>120</v>
      </c>
    </row>
    <row r="49" ht="12.75">
      <c r="B49" s="7" t="s">
        <v>121</v>
      </c>
    </row>
    <row r="50" ht="12.75">
      <c r="B50" s="7" t="s">
        <v>122</v>
      </c>
    </row>
    <row r="51" ht="12.75">
      <c r="B51" s="7" t="s">
        <v>123</v>
      </c>
    </row>
    <row r="52" ht="12.75">
      <c r="B52" s="7" t="s">
        <v>124</v>
      </c>
    </row>
    <row r="53" ht="12.75">
      <c r="B53" s="7" t="s">
        <v>125</v>
      </c>
    </row>
    <row r="54" ht="12.75">
      <c r="B54" s="7" t="s">
        <v>126</v>
      </c>
    </row>
    <row r="55" ht="12.75">
      <c r="B55" s="7" t="s">
        <v>127</v>
      </c>
    </row>
    <row r="56" ht="12.75">
      <c r="B56" s="7" t="s">
        <v>128</v>
      </c>
    </row>
    <row r="58" ht="12.75">
      <c r="B58" s="7" t="s">
        <v>129</v>
      </c>
    </row>
    <row r="59" ht="12.75">
      <c r="B59" s="7" t="s">
        <v>137</v>
      </c>
    </row>
    <row r="61" spans="2:8" ht="12.75">
      <c r="B61" s="28" t="s">
        <v>131</v>
      </c>
      <c r="C61" s="49"/>
      <c r="D61" s="50" t="s">
        <v>130</v>
      </c>
      <c r="E61" s="50"/>
      <c r="F61" s="47"/>
      <c r="G61" s="47"/>
      <c r="H61" s="48"/>
    </row>
    <row r="62" spans="2:8" ht="12.75">
      <c r="B62" s="66">
        <v>1</v>
      </c>
      <c r="C62" s="46"/>
      <c r="D62" s="47" t="s">
        <v>136</v>
      </c>
      <c r="E62" s="47"/>
      <c r="F62" s="47"/>
      <c r="G62" s="47"/>
      <c r="H62" s="48"/>
    </row>
    <row r="63" spans="2:8" ht="12.75">
      <c r="B63" s="97" t="s">
        <v>150</v>
      </c>
      <c r="C63" s="98"/>
      <c r="D63" s="99" t="s">
        <v>135</v>
      </c>
      <c r="E63" s="99"/>
      <c r="F63" s="99"/>
      <c r="G63" s="99"/>
      <c r="H63" s="100"/>
    </row>
    <row r="64" spans="2:8" ht="12.75">
      <c r="B64" s="93" t="s">
        <v>151</v>
      </c>
      <c r="C64" s="94"/>
      <c r="D64" s="95" t="s">
        <v>134</v>
      </c>
      <c r="E64" s="95"/>
      <c r="F64" s="95"/>
      <c r="G64" s="95"/>
      <c r="H64" s="96"/>
    </row>
    <row r="65" spans="2:8" ht="12.75">
      <c r="B65" s="87" t="s">
        <v>152</v>
      </c>
      <c r="C65" s="88"/>
      <c r="D65" s="88" t="s">
        <v>132</v>
      </c>
      <c r="E65" s="88"/>
      <c r="F65" s="88"/>
      <c r="G65" s="88"/>
      <c r="H65" s="89"/>
    </row>
    <row r="66" spans="2:8" ht="12.75">
      <c r="B66" s="90"/>
      <c r="C66" s="91"/>
      <c r="D66" s="91" t="s">
        <v>133</v>
      </c>
      <c r="E66" s="91"/>
      <c r="F66" s="91"/>
      <c r="G66" s="91"/>
      <c r="H66" s="92"/>
    </row>
    <row r="67" spans="2:8" ht="12.75">
      <c r="B67" s="67" t="s">
        <v>153</v>
      </c>
      <c r="C67" s="63"/>
      <c r="D67" s="65" t="s">
        <v>154</v>
      </c>
      <c r="E67" s="63"/>
      <c r="F67" s="63"/>
      <c r="G67" s="63"/>
      <c r="H67" s="64"/>
    </row>
  </sheetData>
  <sheetProtection password="C7BC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35"/>
  <sheetViews>
    <sheetView showGridLines="0" workbookViewId="0" topLeftCell="A1">
      <selection activeCell="C6" sqref="C6"/>
    </sheetView>
  </sheetViews>
  <sheetFormatPr defaultColWidth="9.140625" defaultRowHeight="12.75"/>
  <cols>
    <col min="1" max="16384" width="9.140625" style="2" customWidth="1"/>
  </cols>
  <sheetData>
    <row r="2" ht="12.75">
      <c r="B2" s="2" t="s">
        <v>79</v>
      </c>
    </row>
    <row r="3" ht="12.75">
      <c r="B3" s="1"/>
    </row>
    <row r="4" ht="12.75">
      <c r="B4" s="34" t="s">
        <v>78</v>
      </c>
    </row>
    <row r="5" ht="12.75">
      <c r="B5" s="1"/>
    </row>
    <row r="6" spans="2:4" ht="12.75">
      <c r="B6" s="1" t="s">
        <v>13</v>
      </c>
      <c r="C6" s="41">
        <v>1</v>
      </c>
      <c r="D6" s="2" t="s">
        <v>41</v>
      </c>
    </row>
    <row r="7" spans="2:3" ht="12.75">
      <c r="B7" s="1"/>
      <c r="C7" s="51" t="str">
        <f>VLOOKUP(C6,Density!E19:F31,2,FALSE)</f>
        <v>KNDX</v>
      </c>
    </row>
    <row r="8" spans="2:5" ht="12.75">
      <c r="B8" s="1" t="s">
        <v>11</v>
      </c>
      <c r="C8" s="41">
        <v>0.261</v>
      </c>
      <c r="D8" s="3" t="s">
        <v>12</v>
      </c>
      <c r="E8" s="4" t="s">
        <v>19</v>
      </c>
    </row>
    <row r="9" spans="2:5" ht="12.75">
      <c r="B9" s="1" t="s">
        <v>0</v>
      </c>
      <c r="C9" s="41">
        <v>1.06</v>
      </c>
      <c r="D9" s="3" t="s">
        <v>9</v>
      </c>
      <c r="E9" s="4" t="s">
        <v>20</v>
      </c>
    </row>
    <row r="10" spans="2:5" ht="12.75">
      <c r="B10" s="1" t="s">
        <v>1</v>
      </c>
      <c r="C10" s="41">
        <v>0.375</v>
      </c>
      <c r="D10" s="3" t="s">
        <v>9</v>
      </c>
      <c r="E10" s="4" t="s">
        <v>21</v>
      </c>
    </row>
    <row r="11" spans="2:5" ht="12.75">
      <c r="B11" s="1" t="s">
        <v>74</v>
      </c>
      <c r="C11" s="41">
        <v>5</v>
      </c>
      <c r="D11" s="3" t="s">
        <v>9</v>
      </c>
      <c r="E11" s="4" t="s">
        <v>22</v>
      </c>
    </row>
    <row r="12" spans="2:5" ht="12.75">
      <c r="B12" s="1" t="s">
        <v>73</v>
      </c>
      <c r="C12" s="41">
        <v>0.5</v>
      </c>
      <c r="D12" s="3" t="s">
        <v>9</v>
      </c>
      <c r="E12" s="4" t="s">
        <v>23</v>
      </c>
    </row>
    <row r="13" spans="2:5" ht="12.75">
      <c r="B13" s="1" t="s">
        <v>75</v>
      </c>
      <c r="C13" s="41">
        <v>30</v>
      </c>
      <c r="D13" s="3" t="s">
        <v>76</v>
      </c>
      <c r="E13" s="4" t="s">
        <v>77</v>
      </c>
    </row>
    <row r="14" spans="4:5" ht="12.75">
      <c r="D14" s="3"/>
      <c r="E14" s="4"/>
    </row>
    <row r="15" spans="2:5" ht="12.75">
      <c r="B15" s="1" t="s">
        <v>2</v>
      </c>
      <c r="C15" s="2">
        <f>C9-2*C12*TAN(C13/180*PI())</f>
        <v>0.4826497308103743</v>
      </c>
      <c r="D15" s="3" t="s">
        <v>9</v>
      </c>
      <c r="E15" s="4" t="s">
        <v>24</v>
      </c>
    </row>
    <row r="16" spans="2:5" ht="12.75">
      <c r="B16" s="1" t="s">
        <v>3</v>
      </c>
      <c r="C16" s="2">
        <f>C9/2</f>
        <v>0.53</v>
      </c>
      <c r="D16" s="3" t="s">
        <v>9</v>
      </c>
      <c r="E16" s="4" t="s">
        <v>25</v>
      </c>
    </row>
    <row r="17" spans="2:5" ht="12.75">
      <c r="B17" s="1" t="s">
        <v>4</v>
      </c>
      <c r="C17" s="2">
        <f>C10/2</f>
        <v>0.1875</v>
      </c>
      <c r="D17" s="3" t="s">
        <v>9</v>
      </c>
      <c r="E17" s="4" t="s">
        <v>26</v>
      </c>
    </row>
    <row r="18" spans="2:5" ht="12.75">
      <c r="B18" s="1" t="s">
        <v>5</v>
      </c>
      <c r="C18" s="2">
        <f>(C9-2*C12*TAN(0.5236))/2</f>
        <v>0.24132404913680938</v>
      </c>
      <c r="D18" s="3" t="s">
        <v>9</v>
      </c>
      <c r="E18" s="4" t="s">
        <v>27</v>
      </c>
    </row>
    <row r="19" spans="2:5" ht="12.75">
      <c r="B19" s="1"/>
      <c r="D19" s="3"/>
      <c r="E19" s="3"/>
    </row>
    <row r="20" spans="2:5" ht="12.75">
      <c r="B20" s="1" t="s">
        <v>28</v>
      </c>
      <c r="C20" s="2">
        <f>PI()*C16^2*C11</f>
        <v>4.412366881966864</v>
      </c>
      <c r="D20" s="3" t="s">
        <v>10</v>
      </c>
      <c r="E20" s="3" t="s">
        <v>15</v>
      </c>
    </row>
    <row r="21" spans="2:5" ht="12.75">
      <c r="B21" s="1" t="s">
        <v>6</v>
      </c>
      <c r="C21" s="2">
        <f>1/3*PI()*C12*(C16^2+C18^2+C16*C18)</f>
        <v>0.244541070932278</v>
      </c>
      <c r="D21" s="3" t="s">
        <v>10</v>
      </c>
      <c r="E21" s="3" t="s">
        <v>16</v>
      </c>
    </row>
    <row r="22" spans="2:5" ht="12.75">
      <c r="B22" s="1" t="s">
        <v>7</v>
      </c>
      <c r="C22" s="2">
        <f>-PI()*C17^2*(C11+C12)</f>
        <v>-0.607456392002714</v>
      </c>
      <c r="D22" s="3" t="s">
        <v>10</v>
      </c>
      <c r="E22" s="3" t="s">
        <v>17</v>
      </c>
    </row>
    <row r="23" spans="2:5" ht="12.75">
      <c r="B23" s="1" t="s">
        <v>8</v>
      </c>
      <c r="C23" s="2">
        <f>SUM(C20:C22)</f>
        <v>4.049451560896428</v>
      </c>
      <c r="D23" s="3" t="s">
        <v>10</v>
      </c>
      <c r="E23" s="3" t="s">
        <v>35</v>
      </c>
    </row>
    <row r="24" spans="2:5" ht="12.75">
      <c r="B24" s="1"/>
      <c r="D24" s="3"/>
      <c r="E24" s="3"/>
    </row>
    <row r="25" spans="2:5" ht="12.75">
      <c r="B25" s="1" t="s">
        <v>138</v>
      </c>
      <c r="C25" s="5">
        <f>C8/C23</f>
        <v>0.06445317250374082</v>
      </c>
      <c r="D25" s="3" t="s">
        <v>14</v>
      </c>
      <c r="E25" s="3" t="s">
        <v>29</v>
      </c>
    </row>
    <row r="26" spans="2:5" ht="12.75">
      <c r="B26" s="1" t="s">
        <v>139</v>
      </c>
      <c r="C26" s="5">
        <f>VLOOKUP(C6,denstab,13,FALSE)</f>
        <v>0.06787226255655328</v>
      </c>
      <c r="D26" s="3" t="s">
        <v>14</v>
      </c>
      <c r="E26" s="3" t="s">
        <v>30</v>
      </c>
    </row>
    <row r="28" spans="2:5" ht="12.75">
      <c r="B28" s="1" t="s">
        <v>140</v>
      </c>
      <c r="C28" s="6">
        <f>C25/C26</f>
        <v>0.9496246342169076</v>
      </c>
      <c r="E28" s="3" t="s">
        <v>18</v>
      </c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spans="2:3" ht="12.75">
      <c r="B34" s="7"/>
      <c r="C34" s="7"/>
    </row>
    <row r="35" ht="12.75">
      <c r="B35" s="1"/>
    </row>
  </sheetData>
  <sheetProtection password="C7BC" sheet="1" objects="1" scenarios="1"/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8"/>
  <sheetViews>
    <sheetView showGridLines="0" workbookViewId="0" topLeftCell="A1">
      <selection activeCell="C6" sqref="C6"/>
    </sheetView>
  </sheetViews>
  <sheetFormatPr defaultColWidth="9.140625" defaultRowHeight="12.75"/>
  <cols>
    <col min="1" max="16384" width="9.140625" style="7" customWidth="1"/>
  </cols>
  <sheetData>
    <row r="2" ht="12.75">
      <c r="B2" s="2" t="s">
        <v>79</v>
      </c>
    </row>
    <row r="4" ht="12.75">
      <c r="B4" s="34" t="s">
        <v>78</v>
      </c>
    </row>
    <row r="6" spans="1:7" ht="12.75">
      <c r="A6" s="2"/>
      <c r="B6" s="1" t="s">
        <v>13</v>
      </c>
      <c r="C6" s="41">
        <v>1</v>
      </c>
      <c r="D6" s="2" t="s">
        <v>41</v>
      </c>
      <c r="E6" s="2"/>
      <c r="F6" s="2"/>
      <c r="G6" s="2"/>
    </row>
    <row r="7" spans="1:7" ht="12.75">
      <c r="A7" s="2"/>
      <c r="B7" s="1"/>
      <c r="C7" s="51" t="str">
        <f>VLOOKUP(C6,Density!E19:F31,2,FALSE)</f>
        <v>KNDX</v>
      </c>
      <c r="D7" s="2"/>
      <c r="E7" s="2"/>
      <c r="F7" s="2"/>
      <c r="G7" s="2"/>
    </row>
    <row r="8" spans="1:7" ht="12.75">
      <c r="A8" s="2"/>
      <c r="B8" s="1" t="s">
        <v>11</v>
      </c>
      <c r="C8" s="41">
        <v>114</v>
      </c>
      <c r="D8" s="3" t="s">
        <v>31</v>
      </c>
      <c r="E8" s="4" t="s">
        <v>19</v>
      </c>
      <c r="F8" s="2"/>
      <c r="G8" s="2"/>
    </row>
    <row r="9" spans="1:7" ht="12.75">
      <c r="A9" s="2"/>
      <c r="B9" s="1" t="s">
        <v>0</v>
      </c>
      <c r="C9" s="41">
        <f>0.992*2.54</f>
        <v>2.51968</v>
      </c>
      <c r="D9" s="3" t="s">
        <v>32</v>
      </c>
      <c r="E9" s="4" t="s">
        <v>20</v>
      </c>
      <c r="F9" s="2"/>
      <c r="G9" s="2"/>
    </row>
    <row r="10" spans="1:7" ht="12.75">
      <c r="A10" s="2"/>
      <c r="B10" s="1" t="s">
        <v>1</v>
      </c>
      <c r="C10" s="41">
        <f>3/8*2.54</f>
        <v>0.9525</v>
      </c>
      <c r="D10" s="3" t="s">
        <v>32</v>
      </c>
      <c r="E10" s="4" t="s">
        <v>21</v>
      </c>
      <c r="F10" s="2"/>
      <c r="G10" s="2"/>
    </row>
    <row r="11" spans="1:7" ht="12.75">
      <c r="A11" s="2"/>
      <c r="B11" s="1" t="s">
        <v>74</v>
      </c>
      <c r="C11" s="41">
        <v>14</v>
      </c>
      <c r="D11" s="3" t="s">
        <v>32</v>
      </c>
      <c r="E11" s="4" t="s">
        <v>22</v>
      </c>
      <c r="F11" s="2"/>
      <c r="G11" s="2"/>
    </row>
    <row r="12" spans="1:7" ht="12.75">
      <c r="A12" s="2"/>
      <c r="B12" s="1" t="s">
        <v>73</v>
      </c>
      <c r="C12" s="41">
        <v>1.2</v>
      </c>
      <c r="D12" s="3" t="s">
        <v>32</v>
      </c>
      <c r="E12" s="4" t="s">
        <v>23</v>
      </c>
      <c r="F12" s="2"/>
      <c r="G12" s="2"/>
    </row>
    <row r="13" spans="1:7" ht="12.75">
      <c r="A13" s="2"/>
      <c r="B13" s="1" t="s">
        <v>75</v>
      </c>
      <c r="C13" s="41">
        <v>30</v>
      </c>
      <c r="D13" s="3" t="s">
        <v>76</v>
      </c>
      <c r="E13" s="4" t="s">
        <v>77</v>
      </c>
      <c r="F13" s="2"/>
      <c r="G13" s="2"/>
    </row>
    <row r="14" spans="1:7" ht="12.75">
      <c r="A14" s="2"/>
      <c r="B14" s="2"/>
      <c r="C14" s="2"/>
      <c r="D14" s="3"/>
      <c r="E14" s="4"/>
      <c r="F14" s="2"/>
      <c r="G14" s="2"/>
    </row>
    <row r="15" spans="1:7" ht="12.75">
      <c r="A15" s="2"/>
      <c r="B15" s="1" t="s">
        <v>2</v>
      </c>
      <c r="C15" s="2">
        <f>C9-2*C12*TAN(C13/180*PI())</f>
        <v>1.1340393539448985</v>
      </c>
      <c r="D15" s="3" t="s">
        <v>32</v>
      </c>
      <c r="E15" s="4" t="s">
        <v>24</v>
      </c>
      <c r="F15" s="2"/>
      <c r="G15" s="2"/>
    </row>
    <row r="16" spans="1:7" ht="12.75">
      <c r="A16" s="2"/>
      <c r="B16" s="1" t="s">
        <v>3</v>
      </c>
      <c r="C16" s="2">
        <f>C9/2</f>
        <v>1.25984</v>
      </c>
      <c r="D16" s="3" t="s">
        <v>32</v>
      </c>
      <c r="E16" s="4" t="s">
        <v>25</v>
      </c>
      <c r="F16" s="2"/>
      <c r="G16" s="2"/>
    </row>
    <row r="17" spans="1:7" ht="12.75">
      <c r="A17" s="2"/>
      <c r="B17" s="1" t="s">
        <v>4</v>
      </c>
      <c r="C17" s="2">
        <f>C10/2</f>
        <v>0.47625</v>
      </c>
      <c r="D17" s="3" t="s">
        <v>32</v>
      </c>
      <c r="E17" s="4" t="s">
        <v>26</v>
      </c>
      <c r="F17" s="2"/>
      <c r="G17" s="2"/>
    </row>
    <row r="18" spans="1:7" ht="12.75">
      <c r="A18" s="2"/>
      <c r="B18" s="1" t="s">
        <v>5</v>
      </c>
      <c r="C18" s="2">
        <f>(C9-2*C12*TAN(0.5236))/2</f>
        <v>0.5670177179283425</v>
      </c>
      <c r="D18" s="3" t="s">
        <v>32</v>
      </c>
      <c r="E18" s="4" t="s">
        <v>27</v>
      </c>
      <c r="F18" s="2"/>
      <c r="G18" s="2"/>
    </row>
    <row r="19" spans="1:7" ht="12.75">
      <c r="A19" s="2"/>
      <c r="B19" s="1"/>
      <c r="C19" s="2"/>
      <c r="D19" s="3"/>
      <c r="E19" s="3"/>
      <c r="F19" s="2"/>
      <c r="G19" s="2"/>
    </row>
    <row r="20" spans="1:7" ht="12.75">
      <c r="A20" s="2"/>
      <c r="B20" s="1" t="s">
        <v>28</v>
      </c>
      <c r="C20" s="2">
        <f>PI()*C16^2*C11</f>
        <v>69.80856241948402</v>
      </c>
      <c r="D20" s="3" t="s">
        <v>33</v>
      </c>
      <c r="E20" s="3" t="s">
        <v>15</v>
      </c>
      <c r="F20" s="2"/>
      <c r="G20" s="2"/>
    </row>
    <row r="21" spans="1:7" ht="12.75">
      <c r="A21" s="2"/>
      <c r="B21" s="1" t="s">
        <v>6</v>
      </c>
      <c r="C21" s="2">
        <f>1/3*PI()*C12*(C16^2+C18^2+C16*C18)</f>
        <v>3.296231293658239</v>
      </c>
      <c r="D21" s="3" t="s">
        <v>33</v>
      </c>
      <c r="E21" s="3" t="s">
        <v>16</v>
      </c>
      <c r="F21" s="2"/>
      <c r="G21" s="2"/>
    </row>
    <row r="22" spans="1:7" ht="12.75">
      <c r="A22" s="2"/>
      <c r="B22" s="1" t="s">
        <v>7</v>
      </c>
      <c r="C22" s="2">
        <f>-PI()*C17^2*(C11+C12)</f>
        <v>-10.830872365709013</v>
      </c>
      <c r="D22" s="3" t="s">
        <v>33</v>
      </c>
      <c r="E22" s="3" t="s">
        <v>17</v>
      </c>
      <c r="F22" s="2"/>
      <c r="G22" s="2"/>
    </row>
    <row r="23" spans="1:7" ht="12.75">
      <c r="A23" s="2"/>
      <c r="B23" s="1" t="s">
        <v>8</v>
      </c>
      <c r="C23" s="2">
        <f>SUM(C20:C22)</f>
        <v>62.273921347433244</v>
      </c>
      <c r="D23" s="3" t="s">
        <v>33</v>
      </c>
      <c r="E23" s="3" t="s">
        <v>35</v>
      </c>
      <c r="F23" s="2"/>
      <c r="G23" s="2"/>
    </row>
    <row r="24" spans="1:7" ht="12.75">
      <c r="A24" s="2"/>
      <c r="B24" s="1"/>
      <c r="C24" s="2"/>
      <c r="D24" s="3"/>
      <c r="E24" s="3"/>
      <c r="F24" s="2"/>
      <c r="G24" s="2"/>
    </row>
    <row r="25" spans="1:7" ht="12.75">
      <c r="A25" s="2"/>
      <c r="B25" s="1" t="s">
        <v>138</v>
      </c>
      <c r="C25" s="5">
        <f>C8/C23</f>
        <v>1.830621832275201</v>
      </c>
      <c r="D25" s="3" t="s">
        <v>34</v>
      </c>
      <c r="E25" s="3" t="s">
        <v>29</v>
      </c>
      <c r="F25" s="2"/>
      <c r="G25" s="2"/>
    </row>
    <row r="26" spans="1:7" ht="12.75">
      <c r="A26" s="2"/>
      <c r="B26" s="1" t="s">
        <v>139</v>
      </c>
      <c r="C26" s="5">
        <f>VLOOKUP(C6,Density!E19:P31,12)</f>
        <v>1.878729362114688</v>
      </c>
      <c r="D26" s="3" t="s">
        <v>34</v>
      </c>
      <c r="E26" s="3" t="s">
        <v>30</v>
      </c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"/>
      <c r="B28" s="1" t="s">
        <v>140</v>
      </c>
      <c r="C28" s="6">
        <f>C25/C26</f>
        <v>0.9743935817422167</v>
      </c>
      <c r="D28" s="2"/>
      <c r="E28" s="3" t="s">
        <v>18</v>
      </c>
      <c r="F28" s="2"/>
      <c r="G28" s="2"/>
    </row>
  </sheetData>
  <sheetProtection password="C7BC" sheet="1" objects="1" scenarios="1"/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Q4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2" customWidth="1"/>
    <col min="2" max="2" width="2.421875" style="2" customWidth="1"/>
    <col min="3" max="3" width="4.00390625" style="2" customWidth="1"/>
    <col min="4" max="4" width="9.421875" style="2" customWidth="1"/>
    <col min="5" max="5" width="5.28125" style="2" customWidth="1"/>
    <col min="6" max="6" width="10.421875" style="2" customWidth="1"/>
    <col min="7" max="16384" width="9.140625" style="2" customWidth="1"/>
  </cols>
  <sheetData>
    <row r="1" ht="12.75"/>
    <row r="2" spans="2:9" ht="12.75">
      <c r="B2" s="8"/>
      <c r="C2" s="9"/>
      <c r="D2" s="9"/>
      <c r="E2" s="9"/>
      <c r="F2" s="9"/>
      <c r="G2" s="10"/>
      <c r="I2" s="2" t="s">
        <v>80</v>
      </c>
    </row>
    <row r="3" spans="2:7" ht="12.75">
      <c r="B3" s="11"/>
      <c r="C3" s="76" t="s">
        <v>111</v>
      </c>
      <c r="D3" s="76"/>
      <c r="E3" s="76"/>
      <c r="F3" s="76"/>
      <c r="G3" s="77"/>
    </row>
    <row r="4" spans="2:7" ht="12.75">
      <c r="B4" s="11"/>
      <c r="C4" s="12"/>
      <c r="D4" s="13" t="s">
        <v>50</v>
      </c>
      <c r="E4" s="14" t="s">
        <v>37</v>
      </c>
      <c r="F4" s="15">
        <v>2.109</v>
      </c>
      <c r="G4" s="16" t="s">
        <v>44</v>
      </c>
    </row>
    <row r="5" spans="2:7" ht="12.75">
      <c r="B5" s="11"/>
      <c r="C5" s="12"/>
      <c r="D5" s="13" t="s">
        <v>156</v>
      </c>
      <c r="E5" s="14" t="s">
        <v>51</v>
      </c>
      <c r="F5" s="15">
        <v>5.24</v>
      </c>
      <c r="G5" s="16" t="s">
        <v>44</v>
      </c>
    </row>
    <row r="6" spans="2:7" ht="12.75">
      <c r="B6" s="11"/>
      <c r="C6" s="12"/>
      <c r="D6" s="13" t="s">
        <v>49</v>
      </c>
      <c r="E6" s="14" t="s">
        <v>52</v>
      </c>
      <c r="F6" s="15">
        <v>5.18</v>
      </c>
      <c r="G6" s="16" t="s">
        <v>44</v>
      </c>
    </row>
    <row r="7" spans="2:7" ht="12.75">
      <c r="B7" s="11"/>
      <c r="C7" s="12"/>
      <c r="D7" s="13" t="s">
        <v>45</v>
      </c>
      <c r="E7" s="14" t="s">
        <v>38</v>
      </c>
      <c r="F7" s="15">
        <v>1.5805</v>
      </c>
      <c r="G7" s="16" t="s">
        <v>44</v>
      </c>
    </row>
    <row r="8" spans="2:7" ht="12.75">
      <c r="B8" s="11"/>
      <c r="C8" s="12"/>
      <c r="D8" s="13" t="s">
        <v>46</v>
      </c>
      <c r="E8" s="14" t="s">
        <v>39</v>
      </c>
      <c r="F8" s="15">
        <v>1.562</v>
      </c>
      <c r="G8" s="16" t="s">
        <v>44</v>
      </c>
    </row>
    <row r="9" spans="2:7" ht="12.75">
      <c r="B9" s="11"/>
      <c r="C9" s="12"/>
      <c r="D9" s="13" t="s">
        <v>47</v>
      </c>
      <c r="E9" s="14" t="s">
        <v>40</v>
      </c>
      <c r="F9" s="15">
        <v>1.489</v>
      </c>
      <c r="G9" s="16" t="s">
        <v>44</v>
      </c>
    </row>
    <row r="10" spans="2:7" ht="12.75">
      <c r="B10" s="11"/>
      <c r="C10" s="12"/>
      <c r="D10" s="13" t="s">
        <v>48</v>
      </c>
      <c r="E10" s="14" t="s">
        <v>42</v>
      </c>
      <c r="F10" s="15">
        <v>1.6</v>
      </c>
      <c r="G10" s="16" t="s">
        <v>44</v>
      </c>
    </row>
    <row r="11" spans="2:7" ht="12.75">
      <c r="B11" s="11"/>
      <c r="C11" s="12"/>
      <c r="D11" s="17" t="s">
        <v>43</v>
      </c>
      <c r="E11" s="44" t="s">
        <v>72</v>
      </c>
      <c r="F11" s="45">
        <v>1</v>
      </c>
      <c r="G11" s="16" t="s">
        <v>44</v>
      </c>
    </row>
    <row r="12" spans="2:9" ht="12.75">
      <c r="B12" s="18"/>
      <c r="C12" s="19"/>
      <c r="D12" s="19"/>
      <c r="E12" s="20"/>
      <c r="F12" s="21"/>
      <c r="G12" s="22"/>
      <c r="I12" s="2" t="s">
        <v>70</v>
      </c>
    </row>
    <row r="13" ht="12.75"/>
    <row r="14" ht="12.75"/>
    <row r="15" ht="12.75"/>
    <row r="16" spans="5:17" ht="12.75">
      <c r="E16" s="84" t="s">
        <v>55</v>
      </c>
      <c r="F16" s="84" t="s">
        <v>56</v>
      </c>
      <c r="G16" s="82" t="s">
        <v>71</v>
      </c>
      <c r="H16" s="83"/>
      <c r="I16" s="83"/>
      <c r="J16" s="83"/>
      <c r="K16" s="83"/>
      <c r="L16" s="83"/>
      <c r="M16" s="83"/>
      <c r="N16" s="83"/>
      <c r="O16" s="84" t="s">
        <v>53</v>
      </c>
      <c r="P16" s="78" t="s">
        <v>54</v>
      </c>
      <c r="Q16" s="79"/>
    </row>
    <row r="17" spans="5:17" ht="12.75">
      <c r="E17" s="85"/>
      <c r="F17" s="85"/>
      <c r="G17" s="23" t="s">
        <v>37</v>
      </c>
      <c r="H17" s="23" t="s">
        <v>38</v>
      </c>
      <c r="I17" s="23" t="s">
        <v>39</v>
      </c>
      <c r="J17" s="23" t="s">
        <v>40</v>
      </c>
      <c r="K17" s="23" t="s">
        <v>42</v>
      </c>
      <c r="L17" s="23" t="s">
        <v>51</v>
      </c>
      <c r="M17" s="23" t="s">
        <v>52</v>
      </c>
      <c r="N17" s="24" t="s">
        <v>43</v>
      </c>
      <c r="O17" s="86"/>
      <c r="P17" s="80" t="s">
        <v>36</v>
      </c>
      <c r="Q17" s="81"/>
    </row>
    <row r="18" spans="5:17" ht="12.75">
      <c r="E18" s="86"/>
      <c r="F18" s="86"/>
      <c r="G18" s="25"/>
      <c r="H18" s="25"/>
      <c r="I18" s="25"/>
      <c r="J18" s="25"/>
      <c r="K18" s="25"/>
      <c r="L18" s="25"/>
      <c r="M18" s="25"/>
      <c r="N18" s="43"/>
      <c r="O18" s="26"/>
      <c r="P18" s="27" t="s">
        <v>44</v>
      </c>
      <c r="Q18" s="28" t="s">
        <v>69</v>
      </c>
    </row>
    <row r="19" spans="5:17" ht="12.75">
      <c r="E19" s="29">
        <v>1</v>
      </c>
      <c r="F19" s="30" t="s">
        <v>57</v>
      </c>
      <c r="G19" s="31">
        <v>65</v>
      </c>
      <c r="H19" s="25"/>
      <c r="I19" s="25">
        <v>35</v>
      </c>
      <c r="J19" s="25"/>
      <c r="K19" s="25"/>
      <c r="L19" s="25"/>
      <c r="M19" s="25"/>
      <c r="N19" s="43"/>
      <c r="O19" s="29">
        <f>SUM(G19:N19)</f>
        <v>100</v>
      </c>
      <c r="P19" s="32">
        <f>1/(G19/O19/$F$4+H19/O19/$F$7+I19/O19/$F$8+J19/O19/$F$9+K19/O19/$F$10+L19/O19/$F$5+M19/O19/$F$6+N19/O19/$F$11)</f>
        <v>1.878729362114688</v>
      </c>
      <c r="Q19" s="33">
        <f>P19/453.6*2.54^3</f>
        <v>0.06787226255655328</v>
      </c>
    </row>
    <row r="20" spans="5:17" ht="12.75">
      <c r="E20" s="29">
        <v>2</v>
      </c>
      <c r="F20" s="30" t="s">
        <v>58</v>
      </c>
      <c r="G20" s="31">
        <v>60</v>
      </c>
      <c r="H20" s="25"/>
      <c r="I20" s="25">
        <v>40</v>
      </c>
      <c r="J20" s="25"/>
      <c r="K20" s="25"/>
      <c r="L20" s="25"/>
      <c r="M20" s="25"/>
      <c r="N20" s="43"/>
      <c r="O20" s="29">
        <f>SUM(G20:N20)</f>
        <v>100</v>
      </c>
      <c r="P20" s="32">
        <f>1/(G20/O20/$F$4+H20/O20/$F$7+I20/O20/$F$8+J20/O20/$F$9+K20/O20/$F$10+L20/O20/$F$5+M20/O20/$F$6+N20/O20/$F$11)</f>
        <v>1.8498753369272236</v>
      </c>
      <c r="Q20" s="33">
        <f aca="true" t="shared" si="0" ref="Q20:Q31">P20/453.6*2.54^3</f>
        <v>0.0668298622977248</v>
      </c>
    </row>
    <row r="21" spans="5:17" ht="12.75">
      <c r="E21" s="29">
        <v>3</v>
      </c>
      <c r="F21" s="30" t="s">
        <v>59</v>
      </c>
      <c r="G21" s="31">
        <v>65</v>
      </c>
      <c r="H21" s="25"/>
      <c r="I21" s="25"/>
      <c r="J21" s="25">
        <v>35</v>
      </c>
      <c r="K21" s="25"/>
      <c r="L21" s="25"/>
      <c r="M21" s="25"/>
      <c r="N21" s="43"/>
      <c r="O21" s="29">
        <f>SUM(G21:N21)</f>
        <v>100</v>
      </c>
      <c r="P21" s="32">
        <f>1/(G21/O21/$F$4+H21/O21/$F$7+I21/O21/$F$8+J21/O21/$F$9+K21/O21/$F$10+L21/O21/$F$5+M21/O21/$F$6+N21/O21/$F$11)</f>
        <v>1.8407391559202815</v>
      </c>
      <c r="Q21" s="33">
        <f t="shared" si="0"/>
        <v>0.06649980237074873</v>
      </c>
    </row>
    <row r="22" spans="5:17" ht="12.75">
      <c r="E22" s="29">
        <v>4</v>
      </c>
      <c r="F22" s="30" t="s">
        <v>60</v>
      </c>
      <c r="G22" s="31">
        <v>60</v>
      </c>
      <c r="H22" s="25"/>
      <c r="I22" s="25"/>
      <c r="J22" s="25">
        <v>40</v>
      </c>
      <c r="K22" s="25"/>
      <c r="L22" s="25"/>
      <c r="M22" s="25"/>
      <c r="N22" s="43"/>
      <c r="O22" s="29">
        <f>SUM(G22:N22)</f>
        <v>100</v>
      </c>
      <c r="P22" s="32">
        <f>1/(G22/O22/$F$4+H22/O22/$F$7+I22/O22/$F$8+J22/O22/$F$9+K22/O22/$F$10+L22/O22/$F$5+M22/O22/$F$6+N22/O22/$F$11)</f>
        <v>1.8078877374784112</v>
      </c>
      <c r="Q22" s="33">
        <f t="shared" si="0"/>
        <v>0.06531298954778202</v>
      </c>
    </row>
    <row r="23" spans="5:17" ht="12.75">
      <c r="E23" s="29">
        <v>5</v>
      </c>
      <c r="F23" s="30" t="s">
        <v>61</v>
      </c>
      <c r="G23" s="31">
        <v>65</v>
      </c>
      <c r="H23" s="25">
        <v>35</v>
      </c>
      <c r="I23" s="25"/>
      <c r="J23" s="25"/>
      <c r="K23" s="25"/>
      <c r="L23" s="25"/>
      <c r="M23" s="25"/>
      <c r="N23" s="43"/>
      <c r="O23" s="29">
        <f>SUM(G23:N23)</f>
        <v>100</v>
      </c>
      <c r="P23" s="32">
        <f>1/(G23/O23/$F$4+H23/O23/$F$7+I23/O23/$F$8+J23/O23/$F$9+K23/O23/$F$10+L23/O23/$F$5+M23/O23/$F$6+N23/O23/$F$11)</f>
        <v>1.8880326824225775</v>
      </c>
      <c r="Q23" s="33">
        <f t="shared" si="0"/>
        <v>0.06820836067228936</v>
      </c>
    </row>
    <row r="24" spans="5:17" ht="12.75">
      <c r="E24" s="29">
        <v>6</v>
      </c>
      <c r="F24" s="30" t="s">
        <v>62</v>
      </c>
      <c r="G24" s="31">
        <v>60</v>
      </c>
      <c r="H24" s="25">
        <v>40</v>
      </c>
      <c r="I24" s="25"/>
      <c r="J24" s="25"/>
      <c r="K24" s="25"/>
      <c r="L24" s="25"/>
      <c r="M24" s="25"/>
      <c r="N24" s="43"/>
      <c r="O24" s="29">
        <f aca="true" t="shared" si="1" ref="O24:O29">SUM(G24:N24)</f>
        <v>100</v>
      </c>
      <c r="P24" s="32">
        <f aca="true" t="shared" si="2" ref="P24:P29">1/(G24/O24/$F$4+H24/O24/$F$7+I24/O24/$F$8+J24/O24/$F$9+K24/O24/$F$10+L24/O24/$F$5+M24/O24/$F$6+N24/O24/$F$11)</f>
        <v>1.8601900217646075</v>
      </c>
      <c r="Q24" s="33">
        <f t="shared" si="0"/>
        <v>0.06720249766053354</v>
      </c>
    </row>
    <row r="25" spans="4:17" ht="12.75">
      <c r="D25" s="1"/>
      <c r="E25" s="29">
        <v>7</v>
      </c>
      <c r="F25" s="30" t="s">
        <v>63</v>
      </c>
      <c r="G25" s="31">
        <v>65</v>
      </c>
      <c r="H25" s="25"/>
      <c r="I25" s="25"/>
      <c r="J25" s="25"/>
      <c r="K25" s="25">
        <v>35</v>
      </c>
      <c r="L25" s="25"/>
      <c r="M25" s="25"/>
      <c r="N25" s="43"/>
      <c r="O25" s="29">
        <f t="shared" si="1"/>
        <v>100</v>
      </c>
      <c r="P25" s="32">
        <f t="shared" si="2"/>
        <v>1.8977026685037819</v>
      </c>
      <c r="Q25" s="33">
        <f t="shared" si="0"/>
        <v>0.06855770520666281</v>
      </c>
    </row>
    <row r="26" spans="4:17" ht="12.75">
      <c r="D26" s="1"/>
      <c r="E26" s="29">
        <v>8</v>
      </c>
      <c r="F26" s="30" t="s">
        <v>64</v>
      </c>
      <c r="G26" s="31">
        <v>60</v>
      </c>
      <c r="H26" s="25"/>
      <c r="I26" s="25"/>
      <c r="J26" s="25"/>
      <c r="K26" s="25">
        <v>40</v>
      </c>
      <c r="L26" s="25"/>
      <c r="M26" s="25"/>
      <c r="N26" s="43"/>
      <c r="O26" s="29">
        <f t="shared" si="1"/>
        <v>100</v>
      </c>
      <c r="P26" s="32">
        <f t="shared" si="2"/>
        <v>1.8709248170326012</v>
      </c>
      <c r="Q26" s="33">
        <f t="shared" si="0"/>
        <v>0.06759031022024144</v>
      </c>
    </row>
    <row r="27" spans="4:17" ht="12.75">
      <c r="D27" s="1"/>
      <c r="E27" s="29">
        <v>9</v>
      </c>
      <c r="F27" s="29" t="s">
        <v>65</v>
      </c>
      <c r="G27" s="31">
        <v>65</v>
      </c>
      <c r="H27" s="25"/>
      <c r="I27" s="25">
        <v>35</v>
      </c>
      <c r="J27" s="25"/>
      <c r="K27" s="25"/>
      <c r="L27" s="25">
        <v>0.5</v>
      </c>
      <c r="M27" s="25"/>
      <c r="N27" s="43"/>
      <c r="O27" s="29">
        <f t="shared" si="1"/>
        <v>100.5</v>
      </c>
      <c r="P27" s="32">
        <f t="shared" si="2"/>
        <v>1.8847442642789083</v>
      </c>
      <c r="Q27" s="33">
        <f t="shared" si="0"/>
        <v>0.0680895610281556</v>
      </c>
    </row>
    <row r="28" spans="4:17" ht="12.75">
      <c r="D28" s="1"/>
      <c r="E28" s="29">
        <v>10</v>
      </c>
      <c r="F28" s="29" t="s">
        <v>66</v>
      </c>
      <c r="G28" s="31">
        <v>65</v>
      </c>
      <c r="H28" s="25"/>
      <c r="I28" s="25"/>
      <c r="J28" s="25">
        <v>35</v>
      </c>
      <c r="K28" s="25"/>
      <c r="L28" s="25">
        <v>0.5</v>
      </c>
      <c r="M28" s="25"/>
      <c r="N28" s="43"/>
      <c r="O28" s="29">
        <f t="shared" si="1"/>
        <v>100.5</v>
      </c>
      <c r="P28" s="32">
        <f t="shared" si="2"/>
        <v>1.8466992528221362</v>
      </c>
      <c r="Q28" s="33">
        <f t="shared" si="0"/>
        <v>0.06671512090993942</v>
      </c>
    </row>
    <row r="29" spans="4:17" ht="12.75">
      <c r="D29" s="7"/>
      <c r="E29" s="29">
        <v>11</v>
      </c>
      <c r="F29" s="28" t="s">
        <v>67</v>
      </c>
      <c r="G29" s="31">
        <v>65</v>
      </c>
      <c r="H29" s="25">
        <v>35</v>
      </c>
      <c r="I29" s="25"/>
      <c r="J29" s="25"/>
      <c r="K29" s="25"/>
      <c r="L29" s="25">
        <v>0.5</v>
      </c>
      <c r="M29" s="25"/>
      <c r="N29" s="43"/>
      <c r="O29" s="29">
        <f t="shared" si="1"/>
        <v>100.5</v>
      </c>
      <c r="P29" s="32">
        <f t="shared" si="2"/>
        <v>1.894060586017048</v>
      </c>
      <c r="Q29" s="33">
        <f t="shared" si="0"/>
        <v>0.06842612884245783</v>
      </c>
    </row>
    <row r="30" spans="4:17" ht="12.75">
      <c r="D30" s="7"/>
      <c r="E30" s="29">
        <v>12</v>
      </c>
      <c r="F30" s="28" t="s">
        <v>68</v>
      </c>
      <c r="G30" s="31">
        <v>65</v>
      </c>
      <c r="H30" s="25"/>
      <c r="I30" s="25"/>
      <c r="J30" s="25"/>
      <c r="K30" s="25">
        <v>35</v>
      </c>
      <c r="L30" s="25">
        <v>0.5</v>
      </c>
      <c r="M30" s="25"/>
      <c r="N30" s="43"/>
      <c r="O30" s="29">
        <f>SUM(G30:N30)</f>
        <v>100.5</v>
      </c>
      <c r="P30" s="32">
        <f>1/(G30/O30/$F$4+H30/O30/$F$7+I30/O30/$F$8+J30/O30/$F$9+K30/O30/$F$10+L30/O30/$F$5+M30/O30/$F$6+N30/O30/$F$11)</f>
        <v>1.9037439109493959</v>
      </c>
      <c r="Q30" s="33">
        <f t="shared" si="0"/>
        <v>0.06877595526529551</v>
      </c>
    </row>
    <row r="31" spans="4:17" ht="12.75">
      <c r="D31" s="7"/>
      <c r="E31" s="29">
        <v>13</v>
      </c>
      <c r="F31" s="41" t="s">
        <v>43</v>
      </c>
      <c r="G31" s="42">
        <v>66</v>
      </c>
      <c r="H31" s="43">
        <v>34</v>
      </c>
      <c r="I31" s="43"/>
      <c r="J31" s="43"/>
      <c r="K31" s="43"/>
      <c r="L31" s="43"/>
      <c r="M31" s="43">
        <v>0.5</v>
      </c>
      <c r="N31" s="43"/>
      <c r="O31" s="29">
        <f>SUM(G31:N31)</f>
        <v>100.5</v>
      </c>
      <c r="P31" s="32">
        <f>1/(G31/O31/$F$4+H31/O31/$F$7+I31/O31/$F$8+J31/O31/$F$9+K31/O31/$F$10+L31/O31/$F$5+M31/O31/$F$6+N31/O31/$F$11)</f>
        <v>1.899697587919703</v>
      </c>
      <c r="Q31" s="33">
        <f t="shared" si="0"/>
        <v>0.06862977503061242</v>
      </c>
    </row>
    <row r="32" spans="4:11" ht="12.75">
      <c r="D32" s="7"/>
      <c r="H32" s="1"/>
      <c r="I32" s="1"/>
      <c r="J32" s="1"/>
      <c r="K32" s="1"/>
    </row>
    <row r="33" spans="4:11" ht="12.75">
      <c r="D33" s="7"/>
      <c r="H33" s="1"/>
      <c r="I33" s="1"/>
      <c r="J33" s="1"/>
      <c r="K33" s="1"/>
    </row>
    <row r="34" spans="4:11" ht="12.75">
      <c r="D34" s="7"/>
      <c r="H34" s="1"/>
      <c r="I34" s="1"/>
      <c r="J34" s="1"/>
      <c r="K34" s="1"/>
    </row>
    <row r="35" spans="4:11" ht="12.75">
      <c r="D35" s="7"/>
      <c r="H35" s="1"/>
      <c r="I35" s="1"/>
      <c r="J35" s="1"/>
      <c r="K35" s="1"/>
    </row>
    <row r="36" spans="4:11" ht="12.75">
      <c r="D36" s="1"/>
      <c r="E36" s="1"/>
      <c r="F36" s="1"/>
      <c r="G36" s="1"/>
      <c r="H36" s="1"/>
      <c r="I36" s="1"/>
      <c r="J36" s="1"/>
      <c r="K36" s="1"/>
    </row>
    <row r="37" spans="4:11" ht="12.75">
      <c r="D37" s="1"/>
      <c r="G37" s="1"/>
      <c r="H37" s="1"/>
      <c r="I37" s="1"/>
      <c r="J37" s="1"/>
      <c r="K37" s="1"/>
    </row>
    <row r="38" spans="4:11" ht="12.75">
      <c r="D38" s="1"/>
      <c r="G38" s="1"/>
      <c r="H38" s="1"/>
      <c r="I38" s="1"/>
      <c r="J38" s="1"/>
      <c r="K38" s="1"/>
    </row>
    <row r="39" spans="4:11" ht="12.75">
      <c r="D39" s="1"/>
      <c r="G39" s="1"/>
      <c r="H39" s="1"/>
      <c r="I39" s="1"/>
      <c r="J39" s="1"/>
      <c r="K39" s="1"/>
    </row>
    <row r="40" spans="4:11" ht="12.75">
      <c r="D40" s="1"/>
      <c r="G40" s="1"/>
      <c r="H40" s="1"/>
      <c r="I40" s="1"/>
      <c r="J40" s="1"/>
      <c r="K40" s="1"/>
    </row>
    <row r="41" spans="4:11" ht="12.75">
      <c r="D41" s="1"/>
      <c r="E41" s="7"/>
      <c r="F41" s="7"/>
      <c r="G41" s="1"/>
      <c r="H41" s="1"/>
      <c r="I41" s="1"/>
      <c r="J41" s="1"/>
      <c r="K41" s="1"/>
    </row>
    <row r="42" spans="4:11" ht="12.75">
      <c r="D42" s="1"/>
      <c r="E42" s="1"/>
      <c r="F42" s="1"/>
      <c r="G42" s="1"/>
      <c r="H42" s="1"/>
      <c r="I42" s="1"/>
      <c r="J42" s="1"/>
      <c r="K42" s="1"/>
    </row>
    <row r="43" spans="4:11" ht="12.75">
      <c r="D43" s="1"/>
      <c r="E43" s="1"/>
      <c r="F43" s="1"/>
      <c r="G43" s="1"/>
      <c r="H43" s="1"/>
      <c r="I43" s="1"/>
      <c r="J43" s="1"/>
      <c r="K43" s="1"/>
    </row>
  </sheetData>
  <sheetProtection password="C7BC" sheet="1" objects="1" scenarios="1"/>
  <mergeCells count="7">
    <mergeCell ref="C3:G3"/>
    <mergeCell ref="P16:Q16"/>
    <mergeCell ref="P17:Q17"/>
    <mergeCell ref="G16:N16"/>
    <mergeCell ref="E16:E18"/>
    <mergeCell ref="F16:F18"/>
    <mergeCell ref="O16:O17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E22"/>
  <sheetViews>
    <sheetView showGridLines="0" workbookViewId="0" topLeftCell="A1">
      <selection activeCell="A1" sqref="A1"/>
    </sheetView>
  </sheetViews>
  <sheetFormatPr defaultColWidth="9.140625" defaultRowHeight="12.75"/>
  <cols>
    <col min="3" max="3" width="10.28125" style="0" customWidth="1"/>
    <col min="4" max="4" width="14.7109375" style="0" customWidth="1"/>
    <col min="5" max="5" width="64.57421875" style="0" customWidth="1"/>
  </cols>
  <sheetData>
    <row r="2" ht="12.75">
      <c r="B2" s="52" t="s">
        <v>141</v>
      </c>
    </row>
    <row r="4" spans="2:5" ht="12.75">
      <c r="B4" s="53" t="s">
        <v>142</v>
      </c>
      <c r="C4" s="54" t="s">
        <v>143</v>
      </c>
      <c r="D4" s="55" t="s">
        <v>144</v>
      </c>
      <c r="E4" s="56" t="s">
        <v>145</v>
      </c>
    </row>
    <row r="5" spans="2:5" ht="12.75">
      <c r="B5" s="68">
        <v>1</v>
      </c>
      <c r="C5" s="69">
        <v>38178</v>
      </c>
      <c r="D5" s="70" t="s">
        <v>146</v>
      </c>
      <c r="E5" s="71" t="s">
        <v>147</v>
      </c>
    </row>
    <row r="6" spans="2:5" ht="12.75">
      <c r="B6" s="68">
        <v>1.1</v>
      </c>
      <c r="C6" s="69">
        <v>38277</v>
      </c>
      <c r="D6" s="70" t="s">
        <v>148</v>
      </c>
      <c r="E6" s="71" t="s">
        <v>149</v>
      </c>
    </row>
    <row r="7" spans="2:5" ht="12.75">
      <c r="B7" s="72"/>
      <c r="C7" s="73"/>
      <c r="D7" s="74" t="s">
        <v>86</v>
      </c>
      <c r="E7" s="75" t="s">
        <v>155</v>
      </c>
    </row>
    <row r="8" spans="2:5" ht="12.75">
      <c r="B8" s="68">
        <v>1.2</v>
      </c>
      <c r="C8" s="69">
        <v>38657</v>
      </c>
      <c r="D8" s="70" t="s">
        <v>158</v>
      </c>
      <c r="E8" s="71" t="s">
        <v>159</v>
      </c>
    </row>
    <row r="9" spans="2:5" ht="12.75">
      <c r="B9" s="72"/>
      <c r="C9" s="73"/>
      <c r="D9" s="74" t="s">
        <v>86</v>
      </c>
      <c r="E9" s="75" t="s">
        <v>157</v>
      </c>
    </row>
    <row r="10" spans="2:5" ht="12.75">
      <c r="B10" s="57"/>
      <c r="C10" s="57"/>
      <c r="D10" s="58"/>
      <c r="E10" s="60"/>
    </row>
    <row r="11" spans="2:5" ht="12.75">
      <c r="B11" s="60"/>
      <c r="C11" s="60"/>
      <c r="D11" s="58"/>
      <c r="E11" s="61"/>
    </row>
    <row r="12" spans="2:5" ht="12.75">
      <c r="B12" s="57"/>
      <c r="C12" s="57"/>
      <c r="D12" s="57"/>
      <c r="E12" s="61"/>
    </row>
    <row r="13" spans="2:5" ht="12.75">
      <c r="B13" s="57"/>
      <c r="C13" s="57"/>
      <c r="D13" s="58"/>
      <c r="E13" s="61"/>
    </row>
    <row r="14" spans="2:5" ht="12.75">
      <c r="B14" s="57"/>
      <c r="C14" s="57"/>
      <c r="D14" s="57"/>
      <c r="E14" s="61"/>
    </row>
    <row r="15" spans="2:5" ht="12.75">
      <c r="B15" s="57"/>
      <c r="C15" s="57"/>
      <c r="D15" s="57"/>
      <c r="E15" s="61"/>
    </row>
    <row r="16" spans="2:5" ht="12.75">
      <c r="B16" s="57"/>
      <c r="C16" s="57"/>
      <c r="D16" s="58"/>
      <c r="E16" s="61"/>
    </row>
    <row r="17" spans="2:5" ht="12.75">
      <c r="B17" s="57"/>
      <c r="C17" s="57"/>
      <c r="D17" s="58"/>
      <c r="E17" s="61"/>
    </row>
    <row r="18" spans="2:5" ht="12.75">
      <c r="B18" s="57"/>
      <c r="C18" s="57"/>
      <c r="D18" s="58"/>
      <c r="E18" s="61"/>
    </row>
    <row r="19" spans="2:5" ht="12.75">
      <c r="B19" s="57"/>
      <c r="C19" s="57"/>
      <c r="D19" s="58"/>
      <c r="E19" s="61"/>
    </row>
    <row r="20" spans="2:5" ht="12.75">
      <c r="B20" s="57"/>
      <c r="C20" s="57"/>
      <c r="D20" s="58"/>
      <c r="E20" s="61"/>
    </row>
    <row r="21" spans="2:5" ht="12.75">
      <c r="B21" s="57"/>
      <c r="C21" s="57"/>
      <c r="D21" s="59"/>
      <c r="E21" s="61"/>
    </row>
    <row r="22" spans="2:5" ht="12.75">
      <c r="B22" s="57"/>
      <c r="C22" s="57"/>
      <c r="D22" s="58"/>
      <c r="E22" s="61"/>
    </row>
  </sheetData>
  <sheetProtection password="C7BC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Bombardier Aerospace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Bombardier Aerospace</dc:creator>
  <cp:keywords/>
  <dc:description/>
  <cp:lastModifiedBy>Richard Nakka</cp:lastModifiedBy>
  <dcterms:created xsi:type="dcterms:W3CDTF">2004-05-04T15:49:00Z</dcterms:created>
  <dcterms:modified xsi:type="dcterms:W3CDTF">2005-11-15T01:02:33Z</dcterms:modified>
  <cp:category/>
  <cp:version/>
  <cp:contentType/>
  <cp:contentStatus/>
</cp:coreProperties>
</file>