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0" windowWidth="15600" windowHeight="11760" tabRatio="577" firstSheet="3" activeTab="4"/>
  </bookViews>
  <sheets>
    <sheet name="Chamber Pressure Calcs" sheetId="1" r:id="rId1"/>
    <sheet name="Preliminary Nozzle Calcs" sheetId="2" r:id="rId2"/>
    <sheet name="Regression Rate Formulas" sheetId="3" r:id="rId3"/>
    <sheet name="Dec 9-10 Testing" sheetId="4" r:id="rId4"/>
    <sheet name="Improved Nozzle Design" sheetId="5" r:id="rId5"/>
    <sheet name="FebMarch 24-25 Testing" sheetId="6" r:id="rId6"/>
    <sheet name="Final Steel Rocket 4th Stage" sheetId="7" r:id="rId7"/>
  </sheets>
  <definedNames>
    <definedName name="_xlnm.Print_Area" localSheetId="0">'Chamber Pressure Calcs'!$A$1:$AD$72</definedName>
  </definedNames>
  <calcPr fullCalcOnLoad="1"/>
</workbook>
</file>

<file path=xl/sharedStrings.xml><?xml version="1.0" encoding="utf-8"?>
<sst xmlns="http://schemas.openxmlformats.org/spreadsheetml/2006/main" count="718" uniqueCount="314">
  <si>
    <t>specific volume at nozzle entrance</t>
  </si>
  <si>
    <r>
      <t>Vol</t>
    </r>
    <r>
      <rPr>
        <vertAlign val="subscript"/>
        <sz val="10"/>
        <rFont val="Arial"/>
        <family val="0"/>
      </rPr>
      <t>t</t>
    </r>
    <r>
      <rPr>
        <sz val="10"/>
        <rFont val="Arial"/>
        <family val="0"/>
      </rPr>
      <t xml:space="preserve"> (m</t>
    </r>
    <r>
      <rPr>
        <vertAlign val="superscript"/>
        <sz val="10"/>
        <rFont val="Arial"/>
        <family val="0"/>
      </rPr>
      <t>3</t>
    </r>
    <r>
      <rPr>
        <sz val="10"/>
        <rFont val="Arial"/>
        <family val="0"/>
      </rPr>
      <t>/kg)</t>
    </r>
  </si>
  <si>
    <t>type 1</t>
  </si>
  <si>
    <t>type 2</t>
  </si>
  <si>
    <t>EQUATIONS</t>
  </si>
  <si>
    <t>**assumed exit plume temp</t>
  </si>
  <si>
    <r>
      <t>type 2, chamber pressure, P</t>
    </r>
    <r>
      <rPr>
        <vertAlign val="subscript"/>
        <sz val="10"/>
        <rFont val="Verdana"/>
        <family val="0"/>
      </rPr>
      <t>1</t>
    </r>
    <r>
      <rPr>
        <sz val="10"/>
        <rFont val="Verdana"/>
        <family val="0"/>
      </rPr>
      <t>= c*(m</t>
    </r>
    <r>
      <rPr>
        <vertAlign val="subscript"/>
        <sz val="10"/>
        <rFont val="Verdana"/>
        <family val="0"/>
      </rPr>
      <t>flow</t>
    </r>
    <r>
      <rPr>
        <sz val="10"/>
        <rFont val="Verdana"/>
        <family val="0"/>
      </rPr>
      <t>)/(A</t>
    </r>
    <r>
      <rPr>
        <vertAlign val="subscript"/>
        <sz val="10"/>
        <rFont val="Verdana"/>
        <family val="0"/>
      </rPr>
      <t>t</t>
    </r>
    <r>
      <rPr>
        <sz val="10"/>
        <rFont val="Verdana"/>
        <family val="0"/>
      </rPr>
      <t>)</t>
    </r>
  </si>
  <si>
    <t>DESIGN OF A NOZZLE</t>
  </si>
  <si>
    <t>mass flow (kg/s)</t>
  </si>
  <si>
    <t>Chamber Pressure (Psi)</t>
  </si>
  <si>
    <t>Assumptions:</t>
  </si>
  <si>
    <t>Chamber Temp =</t>
  </si>
  <si>
    <t>Specific heat ratio =</t>
  </si>
  <si>
    <t>Knowns:</t>
  </si>
  <si>
    <t>c* (m/s)</t>
  </si>
  <si>
    <t>c* (ft/s)</t>
  </si>
  <si>
    <r>
      <t>At (m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)</t>
    </r>
  </si>
  <si>
    <t>Chamber Pressure (Pa)</t>
  </si>
  <si>
    <t>dt (m)</t>
  </si>
  <si>
    <t>Test Date: 02/24/07</t>
  </si>
  <si>
    <t>Test</t>
  </si>
  <si>
    <t>Injector Config/ Comb Chamber</t>
  </si>
  <si>
    <t>PostComb Length (in)</t>
  </si>
  <si>
    <t>Chamber Type</t>
  </si>
  <si>
    <t>FG length (in)</t>
  </si>
  <si>
    <t>Oxidizer Weight Loss (kg)</t>
  </si>
  <si>
    <t>FG Weight Initial (kg)</t>
  </si>
  <si>
    <t>FG Weight Final (kg)</t>
  </si>
  <si>
    <t>App Reg Rate (m/s)</t>
  </si>
  <si>
    <t>Oxidizer Loss (kg)</t>
  </si>
  <si>
    <t>FG Mass Loss (kg)</t>
  </si>
  <si>
    <t>Average</t>
  </si>
  <si>
    <t>FG Mass Flow (kg/s)</t>
  </si>
  <si>
    <t>REGRESSION RATE FORMULAS</t>
  </si>
  <si>
    <t>Long L =</t>
  </si>
  <si>
    <t>Short L =</t>
  </si>
  <si>
    <t>Regression (mm/s)</t>
  </si>
  <si>
    <t>Results: Due to pressure there was an explosive failure of this fuel grain on Sunday March 25, 2007</t>
  </si>
  <si>
    <r>
      <t>r</t>
    </r>
    <r>
      <rPr>
        <vertAlign val="subscript"/>
        <sz val="10"/>
        <rFont val="Arial"/>
        <family val="0"/>
      </rPr>
      <t>HTPB</t>
    </r>
    <r>
      <rPr>
        <sz val="10"/>
        <rFont val="Arial"/>
        <family val="0"/>
      </rPr>
      <t xml:space="preserve"> Sutton(emp) in/s</t>
    </r>
  </si>
  <si>
    <r>
      <t>r</t>
    </r>
    <r>
      <rPr>
        <vertAlign val="subscript"/>
        <sz val="10"/>
        <rFont val="Arial"/>
        <family val="0"/>
      </rPr>
      <t>HTPB</t>
    </r>
    <r>
      <rPr>
        <sz val="10"/>
        <rFont val="Arial"/>
        <family val="0"/>
      </rPr>
      <t xml:space="preserve"> Sutton(emp) mm/s</t>
    </r>
  </si>
  <si>
    <r>
      <t>r</t>
    </r>
    <r>
      <rPr>
        <vertAlign val="subscript"/>
        <sz val="10"/>
        <rFont val="Arial"/>
        <family val="0"/>
      </rPr>
      <t>HTPB</t>
    </r>
    <r>
      <rPr>
        <sz val="10"/>
        <rFont val="Arial"/>
        <family val="0"/>
      </rPr>
      <t xml:space="preserve"> U of Ark(emp) in/s</t>
    </r>
  </si>
  <si>
    <t>Static Pressure (Psi)</t>
  </si>
  <si>
    <r>
      <t>r</t>
    </r>
    <r>
      <rPr>
        <vertAlign val="subscript"/>
        <sz val="10"/>
        <rFont val="Verdana"/>
        <family val="0"/>
      </rPr>
      <t xml:space="preserve">HTPB </t>
    </r>
    <r>
      <rPr>
        <sz val="10"/>
        <rFont val="Verdana"/>
        <family val="0"/>
      </rPr>
      <t>= [aG</t>
    </r>
    <r>
      <rPr>
        <vertAlign val="subscript"/>
        <sz val="10"/>
        <rFont val="Verdana"/>
        <family val="0"/>
      </rPr>
      <t>ox</t>
    </r>
    <r>
      <rPr>
        <vertAlign val="superscript"/>
        <sz val="10"/>
        <rFont val="Verdana"/>
        <family val="0"/>
      </rPr>
      <t>n</t>
    </r>
    <r>
      <rPr>
        <sz val="10"/>
        <rFont val="Verdana"/>
        <family val="0"/>
      </rPr>
      <t>L</t>
    </r>
    <r>
      <rPr>
        <vertAlign val="superscript"/>
        <sz val="10"/>
        <rFont val="Verdana"/>
        <family val="0"/>
      </rPr>
      <t>m</t>
    </r>
    <r>
      <rPr>
        <sz val="10"/>
        <rFont val="Verdana"/>
        <family val="0"/>
      </rPr>
      <t>(1-n)]/[(1+m)(1+1/OF)*OF]</t>
    </r>
  </si>
  <si>
    <t>space averaged regression rate</t>
  </si>
  <si>
    <r>
      <t>r</t>
    </r>
    <r>
      <rPr>
        <vertAlign val="subscript"/>
        <sz val="10"/>
        <rFont val="Verdana"/>
        <family val="0"/>
      </rPr>
      <t xml:space="preserve">HTPB </t>
    </r>
    <r>
      <rPr>
        <sz val="10"/>
        <rFont val="Verdana"/>
        <family val="0"/>
      </rPr>
      <t>= [aG</t>
    </r>
    <r>
      <rPr>
        <vertAlign val="subscript"/>
        <sz val="10"/>
        <rFont val="Verdana"/>
        <family val="0"/>
      </rPr>
      <t>ox</t>
    </r>
    <r>
      <rPr>
        <vertAlign val="superscript"/>
        <sz val="10"/>
        <rFont val="Verdana"/>
        <family val="0"/>
      </rPr>
      <t>n</t>
    </r>
    <r>
      <rPr>
        <sz val="10"/>
        <rFont val="Verdana"/>
        <family val="0"/>
      </rPr>
      <t>(1-n)]/[(1+1/OF)*OF]</t>
    </r>
  </si>
  <si>
    <t>when m = 0</t>
  </si>
  <si>
    <t>inner diameter (in)=</t>
  </si>
  <si>
    <t>(m)</t>
  </si>
  <si>
    <r>
      <t>r</t>
    </r>
    <r>
      <rPr>
        <vertAlign val="subscript"/>
        <sz val="10"/>
        <rFont val="Arial"/>
        <family val="0"/>
      </rPr>
      <t>HTPB</t>
    </r>
    <r>
      <rPr>
        <sz val="10"/>
        <rFont val="Arial"/>
        <family val="0"/>
      </rPr>
      <t xml:space="preserve"> U of Ark(emp) mm/s</t>
    </r>
  </si>
  <si>
    <r>
      <t>r</t>
    </r>
    <r>
      <rPr>
        <vertAlign val="subscript"/>
        <sz val="10"/>
        <rFont val="Arial"/>
        <family val="0"/>
      </rPr>
      <t>HTPB</t>
    </r>
    <r>
      <rPr>
        <sz val="10"/>
        <rFont val="Arial"/>
        <family val="0"/>
      </rPr>
      <t xml:space="preserve"> U of Ark(exper) m/s</t>
    </r>
  </si>
  <si>
    <r>
      <t>r</t>
    </r>
    <r>
      <rPr>
        <vertAlign val="subscript"/>
        <sz val="10"/>
        <rFont val="Arial"/>
        <family val="0"/>
      </rPr>
      <t>HTPB</t>
    </r>
    <r>
      <rPr>
        <sz val="10"/>
        <rFont val="Arial"/>
        <family val="0"/>
      </rPr>
      <t xml:space="preserve"> U of Ark(exper) mm/s</t>
    </r>
  </si>
  <si>
    <t>Pre-Injector Press   (psi)</t>
  </si>
  <si>
    <t>Pre-Comb Chamb P  (psi)</t>
  </si>
  <si>
    <t xml:space="preserve"> SN #1</t>
  </si>
  <si>
    <t>Short</t>
  </si>
  <si>
    <t>SN #2</t>
  </si>
  <si>
    <t>Long</t>
  </si>
  <si>
    <t>Over Exp</t>
  </si>
  <si>
    <t>8 deg 1/2</t>
  </si>
  <si>
    <t>11 deg 1/2</t>
  </si>
  <si>
    <t>M=.361385 (R=23007 J/(kg*k))</t>
  </si>
  <si>
    <t>M=361.385 (R=23.007 J/(kg*k))</t>
  </si>
  <si>
    <t>A highlighted cell denotes a necessary input</t>
  </si>
  <si>
    <t>Larger Chamber</t>
  </si>
  <si>
    <t>Throat Diameter:</t>
  </si>
  <si>
    <t>mm</t>
  </si>
  <si>
    <t>Inner r after Burn (in)</t>
  </si>
  <si>
    <r>
      <t>r</t>
    </r>
    <r>
      <rPr>
        <vertAlign val="subscript"/>
        <sz val="10"/>
        <rFont val="Arial"/>
        <family val="0"/>
      </rPr>
      <t>HTPB</t>
    </r>
    <r>
      <rPr>
        <sz val="10"/>
        <rFont val="Arial"/>
        <family val="0"/>
      </rPr>
      <t xml:space="preserve"> U of Ark(exper) in/s</t>
    </r>
  </si>
  <si>
    <r>
      <t>G</t>
    </r>
    <r>
      <rPr>
        <vertAlign val="subscript"/>
        <sz val="10"/>
        <rFont val="Verdana"/>
        <family val="0"/>
      </rPr>
      <t>0</t>
    </r>
    <r>
      <rPr>
        <sz val="10"/>
        <rFont val="Arial"/>
        <family val="0"/>
      </rPr>
      <t>=m</t>
    </r>
    <r>
      <rPr>
        <vertAlign val="subscript"/>
        <sz val="10"/>
        <rFont val="Verdana"/>
        <family val="0"/>
      </rPr>
      <t>ox</t>
    </r>
    <r>
      <rPr>
        <sz val="10"/>
        <rFont val="Arial"/>
        <family val="0"/>
      </rPr>
      <t>/pi*R</t>
    </r>
    <r>
      <rPr>
        <vertAlign val="subscript"/>
        <sz val="10"/>
        <rFont val="Verdana"/>
        <family val="0"/>
      </rPr>
      <t>i</t>
    </r>
    <r>
      <rPr>
        <vertAlign val="superscript"/>
        <sz val="10"/>
        <rFont val="Verdana"/>
        <family val="0"/>
      </rPr>
      <t>2</t>
    </r>
  </si>
  <si>
    <t>a =</t>
  </si>
  <si>
    <t>n =</t>
  </si>
  <si>
    <r>
      <t>R</t>
    </r>
    <r>
      <rPr>
        <vertAlign val="subscript"/>
        <sz val="10"/>
        <rFont val="Verdana"/>
        <family val="0"/>
      </rPr>
      <t>i</t>
    </r>
    <r>
      <rPr>
        <sz val="10"/>
        <rFont val="Arial"/>
        <family val="0"/>
      </rPr>
      <t xml:space="preserve"> = </t>
    </r>
  </si>
  <si>
    <t>in</t>
  </si>
  <si>
    <r>
      <t>m</t>
    </r>
    <r>
      <rPr>
        <vertAlign val="subscript"/>
        <sz val="10"/>
        <rFont val="Verdana"/>
        <family val="0"/>
      </rPr>
      <t xml:space="preserve">ox </t>
    </r>
    <r>
      <rPr>
        <sz val="10"/>
        <rFont val="Verdana"/>
        <family val="0"/>
      </rPr>
      <t xml:space="preserve">= </t>
    </r>
  </si>
  <si>
    <r>
      <t>lb</t>
    </r>
    <r>
      <rPr>
        <vertAlign val="subscript"/>
        <sz val="10"/>
        <rFont val="Verdana"/>
        <family val="0"/>
      </rPr>
      <t>m</t>
    </r>
    <r>
      <rPr>
        <sz val="10"/>
        <rFont val="Arial"/>
        <family val="0"/>
      </rPr>
      <t>/s</t>
    </r>
  </si>
  <si>
    <r>
      <t>Ae (m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)</t>
    </r>
  </si>
  <si>
    <t>de (m)</t>
  </si>
  <si>
    <r>
      <t>Ae (in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)</t>
    </r>
  </si>
  <si>
    <t>de (in)</t>
  </si>
  <si>
    <t>Ae/At (ratio)</t>
  </si>
  <si>
    <t>Nozzle OD =</t>
  </si>
  <si>
    <t>Le (m)</t>
  </si>
  <si>
    <t>Le(in)</t>
  </si>
  <si>
    <r>
      <t>d</t>
    </r>
    <r>
      <rPr>
        <vertAlign val="subscript"/>
        <sz val="10"/>
        <rFont val="Verdana"/>
        <family val="0"/>
      </rPr>
      <t xml:space="preserve">t </t>
    </r>
    <r>
      <rPr>
        <sz val="10"/>
        <rFont val="Arial"/>
        <family val="0"/>
      </rPr>
      <t>=</t>
    </r>
  </si>
  <si>
    <r>
      <t>A</t>
    </r>
    <r>
      <rPr>
        <vertAlign val="subscript"/>
        <sz val="10"/>
        <rFont val="Verdana"/>
        <family val="0"/>
      </rPr>
      <t>t</t>
    </r>
    <r>
      <rPr>
        <sz val="10"/>
        <rFont val="Arial"/>
        <family val="0"/>
      </rPr>
      <t xml:space="preserve"> =</t>
    </r>
  </si>
  <si>
    <r>
      <t>m</t>
    </r>
    <r>
      <rPr>
        <vertAlign val="superscript"/>
        <sz val="10"/>
        <rFont val="Verdana"/>
        <family val="0"/>
      </rPr>
      <t>2</t>
    </r>
  </si>
  <si>
    <r>
      <t>in</t>
    </r>
    <r>
      <rPr>
        <vertAlign val="superscript"/>
        <sz val="10"/>
        <rFont val="Verdana"/>
        <family val="0"/>
      </rPr>
      <t>2</t>
    </r>
  </si>
  <si>
    <t>k =</t>
  </si>
  <si>
    <t>R =</t>
  </si>
  <si>
    <t>J/kgK</t>
  </si>
  <si>
    <t>Use this one</t>
  </si>
  <si>
    <t>FG Length (in)</t>
  </si>
  <si>
    <t>Dia Outer (in)</t>
  </si>
  <si>
    <t>Intial Mass (kg)</t>
  </si>
  <si>
    <r>
      <t>type 2, P</t>
    </r>
    <r>
      <rPr>
        <vertAlign val="subscript"/>
        <sz val="10"/>
        <rFont val="Verdana"/>
        <family val="0"/>
      </rPr>
      <t>1</t>
    </r>
    <r>
      <rPr>
        <sz val="10"/>
        <rFont val="Arial"/>
        <family val="0"/>
      </rPr>
      <t xml:space="preserve"> (Pa)</t>
    </r>
  </si>
  <si>
    <r>
      <t>type 2, P</t>
    </r>
    <r>
      <rPr>
        <vertAlign val="subscript"/>
        <sz val="10"/>
        <rFont val="Verdana"/>
        <family val="0"/>
      </rPr>
      <t>1</t>
    </r>
    <r>
      <rPr>
        <sz val="10"/>
        <rFont val="Arial"/>
        <family val="0"/>
      </rPr>
      <t xml:space="preserve"> (psi)</t>
    </r>
  </si>
  <si>
    <t>Regression Formula Type 4</t>
  </si>
  <si>
    <t>Final Volume (m3)</t>
  </si>
  <si>
    <t>Initial Volume (m3)</t>
  </si>
  <si>
    <t>Dia Inner Initial (in)</t>
  </si>
  <si>
    <t>Radius Inner Initial (in)</t>
  </si>
  <si>
    <t>Dia Inner Final (in)</t>
  </si>
  <si>
    <t>Radius Inner Final (in)</t>
  </si>
  <si>
    <t>Initial Wall thick (in)</t>
  </si>
  <si>
    <t>Final Wall Thick (in)</t>
  </si>
  <si>
    <t>Calculations:</t>
  </si>
  <si>
    <t>Exit Mach Number:</t>
  </si>
  <si>
    <t>P01=</t>
  </si>
  <si>
    <t>psi</t>
  </si>
  <si>
    <t>Nozzle Area Ratio:</t>
  </si>
  <si>
    <t>Mthroat=</t>
  </si>
  <si>
    <t>Throat Area:</t>
  </si>
  <si>
    <t>mass flow=</t>
  </si>
  <si>
    <t>kg/s</t>
  </si>
  <si>
    <t>Pthroat=</t>
  </si>
  <si>
    <t>Tthroat=</t>
  </si>
  <si>
    <t>m^2</t>
  </si>
  <si>
    <t>Exit Area:</t>
  </si>
  <si>
    <t>Original M value</t>
  </si>
  <si>
    <t>Nozzle Calculations</t>
  </si>
  <si>
    <r>
      <t>r</t>
    </r>
    <r>
      <rPr>
        <vertAlign val="subscript"/>
        <sz val="10"/>
        <rFont val="Verdana"/>
        <family val="0"/>
      </rPr>
      <t xml:space="preserve">HTPB </t>
    </r>
    <r>
      <rPr>
        <sz val="10"/>
        <rFont val="Verdana"/>
        <family val="0"/>
      </rPr>
      <t>= 0.065G</t>
    </r>
    <r>
      <rPr>
        <vertAlign val="subscript"/>
        <sz val="10"/>
        <rFont val="Verdana"/>
        <family val="0"/>
      </rPr>
      <t>0</t>
    </r>
    <r>
      <rPr>
        <vertAlign val="superscript"/>
        <sz val="10"/>
        <rFont val="Verdana"/>
        <family val="0"/>
      </rPr>
      <t>0.77</t>
    </r>
    <r>
      <rPr>
        <sz val="10"/>
        <rFont val="Verdana"/>
        <family val="0"/>
      </rPr>
      <t>(D</t>
    </r>
    <r>
      <rPr>
        <vertAlign val="subscript"/>
        <sz val="10"/>
        <rFont val="Verdana"/>
        <family val="0"/>
      </rPr>
      <t>p</t>
    </r>
    <r>
      <rPr>
        <sz val="10"/>
        <rFont val="Verdana"/>
        <family val="0"/>
      </rPr>
      <t>/3)</t>
    </r>
    <r>
      <rPr>
        <vertAlign val="superscript"/>
        <sz val="10"/>
        <rFont val="Verdana"/>
        <family val="0"/>
      </rPr>
      <t>0.71</t>
    </r>
  </si>
  <si>
    <t>Dp =</t>
  </si>
  <si>
    <t>l =</t>
  </si>
  <si>
    <t>Chamber Pressure (psi)</t>
  </si>
  <si>
    <t>Injector Pressure Loss</t>
  </si>
  <si>
    <t>-Sutton</t>
  </si>
  <si>
    <r>
      <t>r</t>
    </r>
    <r>
      <rPr>
        <vertAlign val="subscript"/>
        <sz val="10"/>
        <rFont val="Verdana"/>
        <family val="0"/>
      </rPr>
      <t xml:space="preserve">HTPB </t>
    </r>
    <r>
      <rPr>
        <sz val="10"/>
        <rFont val="Verdana"/>
        <family val="0"/>
      </rPr>
      <t>= aG</t>
    </r>
    <r>
      <rPr>
        <vertAlign val="subscript"/>
        <sz val="10"/>
        <rFont val="Verdana"/>
        <family val="0"/>
      </rPr>
      <t>0</t>
    </r>
    <r>
      <rPr>
        <vertAlign val="superscript"/>
        <sz val="10"/>
        <rFont val="Verdana"/>
        <family val="0"/>
      </rPr>
      <t>n</t>
    </r>
  </si>
  <si>
    <t>c* =</t>
  </si>
  <si>
    <t>m/s</t>
  </si>
  <si>
    <t>ft/s</t>
  </si>
  <si>
    <r>
      <t>type 1, chamber pressure, P</t>
    </r>
    <r>
      <rPr>
        <vertAlign val="subscript"/>
        <sz val="10"/>
        <rFont val="Verdana"/>
        <family val="0"/>
      </rPr>
      <t>1</t>
    </r>
    <r>
      <rPr>
        <sz val="10"/>
        <rFont val="Verdana"/>
        <family val="0"/>
      </rPr>
      <t>= c*(m</t>
    </r>
    <r>
      <rPr>
        <vertAlign val="subscript"/>
        <sz val="10"/>
        <rFont val="Verdana"/>
        <family val="0"/>
      </rPr>
      <t>flow</t>
    </r>
    <r>
      <rPr>
        <sz val="10"/>
        <rFont val="Verdana"/>
        <family val="0"/>
      </rPr>
      <t>)/(g</t>
    </r>
    <r>
      <rPr>
        <vertAlign val="subscript"/>
        <sz val="10"/>
        <rFont val="Verdana"/>
        <family val="0"/>
      </rPr>
      <t>0</t>
    </r>
    <r>
      <rPr>
        <sz val="10"/>
        <rFont val="Verdana"/>
        <family val="0"/>
      </rPr>
      <t>*A</t>
    </r>
    <r>
      <rPr>
        <vertAlign val="subscript"/>
        <sz val="10"/>
        <rFont val="Verdana"/>
        <family val="0"/>
      </rPr>
      <t>t</t>
    </r>
    <r>
      <rPr>
        <sz val="10"/>
        <rFont val="Verdana"/>
        <family val="0"/>
      </rPr>
      <t>)</t>
    </r>
  </si>
  <si>
    <r>
      <t>d</t>
    </r>
    <r>
      <rPr>
        <vertAlign val="subscript"/>
        <sz val="10"/>
        <rFont val="Verdana"/>
        <family val="0"/>
      </rPr>
      <t xml:space="preserve">t </t>
    </r>
    <r>
      <rPr>
        <sz val="10"/>
        <rFont val="Verdana"/>
        <family val="0"/>
      </rPr>
      <t>(m)</t>
    </r>
  </si>
  <si>
    <t>Initial Dia (in2)</t>
  </si>
  <si>
    <t>Wall thick (in)</t>
  </si>
  <si>
    <r>
      <t>lb</t>
    </r>
    <r>
      <rPr>
        <vertAlign val="subscript"/>
        <sz val="10"/>
        <rFont val="Verdana"/>
        <family val="0"/>
      </rPr>
      <t>m</t>
    </r>
    <r>
      <rPr>
        <sz val="10"/>
        <rFont val="Arial"/>
        <family val="0"/>
      </rPr>
      <t>ft/lb</t>
    </r>
    <r>
      <rPr>
        <vertAlign val="subscript"/>
        <sz val="10"/>
        <rFont val="Verdana"/>
        <family val="0"/>
      </rPr>
      <t>f</t>
    </r>
    <r>
      <rPr>
        <sz val="10"/>
        <rFont val="Arial"/>
        <family val="0"/>
      </rPr>
      <t>sec</t>
    </r>
  </si>
  <si>
    <t>kgm/Ns</t>
  </si>
  <si>
    <t>Note: Obtain burn time from load cell readings on temperature data sheets</t>
  </si>
  <si>
    <t>kg/in3</t>
  </si>
  <si>
    <t>Regression Formula Type 3</t>
  </si>
  <si>
    <r>
      <t>Vol</t>
    </r>
    <r>
      <rPr>
        <vertAlign val="subscript"/>
        <sz val="10"/>
        <rFont val="Arial"/>
        <family val="0"/>
      </rPr>
      <t xml:space="preserve">t </t>
    </r>
    <r>
      <rPr>
        <sz val="10"/>
        <rFont val="Arial"/>
        <family val="0"/>
      </rPr>
      <t>= RTo/P</t>
    </r>
    <r>
      <rPr>
        <vertAlign val="subscript"/>
        <sz val="10"/>
        <rFont val="Arial"/>
        <family val="0"/>
      </rPr>
      <t>01</t>
    </r>
  </si>
  <si>
    <r>
      <t>v</t>
    </r>
    <r>
      <rPr>
        <vertAlign val="subscript"/>
        <sz val="10"/>
        <rFont val="Arial"/>
        <family val="0"/>
      </rPr>
      <t>t</t>
    </r>
    <r>
      <rPr>
        <sz val="10"/>
        <rFont val="Arial"/>
        <family val="0"/>
      </rPr>
      <t xml:space="preserve"> = sqrt(2kRTo/(k+1))</t>
    </r>
  </si>
  <si>
    <t>throat velocity</t>
  </si>
  <si>
    <r>
      <t>v</t>
    </r>
    <r>
      <rPr>
        <vertAlign val="subscript"/>
        <sz val="10"/>
        <rFont val="Arial"/>
        <family val="0"/>
      </rPr>
      <t>t</t>
    </r>
    <r>
      <rPr>
        <sz val="10"/>
        <rFont val="Arial"/>
        <family val="0"/>
      </rPr>
      <t xml:space="preserve"> (m/s)</t>
    </r>
  </si>
  <si>
    <t>kJ/kgK</t>
  </si>
  <si>
    <t>NOTE: This nozzle throat diameter is probably not correct due to the M value assumption</t>
  </si>
  <si>
    <t>NOTE: The higher mass flow assumption is due to the belief that due to the larger cross sectional area, we will have higher flow</t>
  </si>
  <si>
    <r>
      <t>V</t>
    </r>
    <r>
      <rPr>
        <vertAlign val="subscript"/>
        <sz val="10"/>
        <rFont val="Arial"/>
        <family val="0"/>
      </rPr>
      <t xml:space="preserve">e </t>
    </r>
    <r>
      <rPr>
        <sz val="10"/>
        <rFont val="Arial"/>
        <family val="0"/>
      </rPr>
      <t>= sqrt((2k/(k-1))RTo[1-(Pe/P01)</t>
    </r>
    <r>
      <rPr>
        <vertAlign val="superscript"/>
        <sz val="10"/>
        <rFont val="Arial"/>
        <family val="0"/>
      </rPr>
      <t>(k-1)/k</t>
    </r>
    <r>
      <rPr>
        <sz val="10"/>
        <rFont val="Arial"/>
        <family val="0"/>
      </rPr>
      <t>])</t>
    </r>
  </si>
  <si>
    <t>exit velocity, type 2, assuming Pe = 101.3kPa for optimum expansion</t>
  </si>
  <si>
    <t>ae (m/s)</t>
  </si>
  <si>
    <r>
      <t>a</t>
    </r>
    <r>
      <rPr>
        <vertAlign val="subscript"/>
        <sz val="10"/>
        <rFont val="Arial"/>
        <family val="0"/>
      </rPr>
      <t xml:space="preserve">e </t>
    </r>
    <r>
      <rPr>
        <sz val="10"/>
        <rFont val="Arial"/>
        <family val="0"/>
      </rPr>
      <t>= Ve/Me</t>
    </r>
  </si>
  <si>
    <t>exit speed of sound, after determining the exit velocity</t>
  </si>
  <si>
    <r>
      <t>Te = a</t>
    </r>
    <r>
      <rPr>
        <vertAlign val="subscript"/>
        <sz val="10"/>
        <rFont val="Arial"/>
        <family val="0"/>
      </rPr>
      <t>e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/(kR)</t>
    </r>
  </si>
  <si>
    <t>calculated exit plume temperature</t>
  </si>
  <si>
    <t>Te (K)</t>
  </si>
  <si>
    <t>specific volume at throat</t>
  </si>
  <si>
    <t>Burn Time (sec)</t>
  </si>
  <si>
    <t>Initial Dia PreComb (in)</t>
  </si>
  <si>
    <t>Initial Dia PostComb (in)</t>
  </si>
  <si>
    <t>Final Dia PreComb (in)</t>
  </si>
  <si>
    <t>Ox Mass Flow (kg/s)</t>
  </si>
  <si>
    <t>4 / Pre 1.5</t>
  </si>
  <si>
    <t>9 / Pre 2</t>
  </si>
  <si>
    <t>Final R PreComb (in)</t>
  </si>
  <si>
    <t>Final R PostComb (in)</t>
  </si>
  <si>
    <t>HTPB Mass Flow (kg/s)</t>
  </si>
  <si>
    <r>
      <t>A</t>
    </r>
    <r>
      <rPr>
        <vertAlign val="subscript"/>
        <sz val="10"/>
        <rFont val="Verdana"/>
        <family val="0"/>
      </rPr>
      <t xml:space="preserve">t </t>
    </r>
    <r>
      <rPr>
        <sz val="10"/>
        <rFont val="Verdana"/>
        <family val="0"/>
      </rPr>
      <t>(m</t>
    </r>
    <r>
      <rPr>
        <vertAlign val="superscript"/>
        <sz val="10"/>
        <rFont val="Verdana"/>
        <family val="0"/>
      </rPr>
      <t>2</t>
    </r>
    <r>
      <rPr>
        <sz val="10"/>
        <rFont val="Verdana"/>
        <family val="0"/>
      </rPr>
      <t>)</t>
    </r>
  </si>
  <si>
    <r>
      <t>kg/m</t>
    </r>
    <r>
      <rPr>
        <vertAlign val="superscript"/>
        <sz val="10"/>
        <rFont val="Verdana"/>
        <family val="0"/>
      </rPr>
      <t>3</t>
    </r>
  </si>
  <si>
    <t>CREATING A SMALL ID FUEL GRAIN</t>
  </si>
  <si>
    <r>
      <t>a</t>
    </r>
    <r>
      <rPr>
        <vertAlign val="subscript"/>
        <sz val="10"/>
        <rFont val="Arial"/>
        <family val="0"/>
      </rPr>
      <t>e</t>
    </r>
    <r>
      <rPr>
        <sz val="10"/>
        <rFont val="Arial"/>
        <family val="0"/>
      </rPr>
      <t xml:space="preserve"> = kRT</t>
    </r>
    <r>
      <rPr>
        <vertAlign val="subscript"/>
        <sz val="10"/>
        <rFont val="Arial"/>
        <family val="0"/>
      </rPr>
      <t>e</t>
    </r>
  </si>
  <si>
    <r>
      <t>V</t>
    </r>
    <r>
      <rPr>
        <vertAlign val="subscript"/>
        <sz val="10"/>
        <rFont val="Arial"/>
        <family val="0"/>
      </rPr>
      <t xml:space="preserve">e </t>
    </r>
    <r>
      <rPr>
        <sz val="10"/>
        <rFont val="Arial"/>
        <family val="0"/>
      </rPr>
      <t>= M</t>
    </r>
    <r>
      <rPr>
        <vertAlign val="subscript"/>
        <sz val="10"/>
        <rFont val="Arial"/>
        <family val="0"/>
      </rPr>
      <t>e</t>
    </r>
    <r>
      <rPr>
        <sz val="10"/>
        <rFont val="Arial"/>
        <family val="0"/>
      </rPr>
      <t>a</t>
    </r>
    <r>
      <rPr>
        <vertAlign val="subscript"/>
        <sz val="10"/>
        <rFont val="Arial"/>
        <family val="0"/>
      </rPr>
      <t>e</t>
    </r>
  </si>
  <si>
    <t>Te =</t>
  </si>
  <si>
    <r>
      <t>type 1, P</t>
    </r>
    <r>
      <rPr>
        <vertAlign val="subscript"/>
        <sz val="10"/>
        <rFont val="Verdana"/>
        <family val="0"/>
      </rPr>
      <t>1</t>
    </r>
    <r>
      <rPr>
        <sz val="10"/>
        <rFont val="Arial"/>
        <family val="0"/>
      </rPr>
      <t xml:space="preserve"> (Pa)</t>
    </r>
  </si>
  <si>
    <r>
      <t>r</t>
    </r>
    <r>
      <rPr>
        <vertAlign val="subscript"/>
        <sz val="10"/>
        <rFont val="Verdana"/>
        <family val="0"/>
      </rPr>
      <t xml:space="preserve">HTPB </t>
    </r>
    <r>
      <rPr>
        <sz val="10"/>
        <rFont val="Arial"/>
        <family val="0"/>
      </rPr>
      <t>= [sqrt</t>
    </r>
    <r>
      <rPr>
        <sz val="10"/>
        <color indexed="48"/>
        <rFont val="Verdana"/>
        <family val="0"/>
      </rPr>
      <t>(</t>
    </r>
    <r>
      <rPr>
        <sz val="10"/>
        <color indexed="10"/>
        <rFont val="Verdana"/>
        <family val="0"/>
      </rPr>
      <t>(</t>
    </r>
    <r>
      <rPr>
        <sz val="10"/>
        <rFont val="Arial"/>
        <family val="0"/>
      </rPr>
      <t>m</t>
    </r>
    <r>
      <rPr>
        <vertAlign val="subscript"/>
        <sz val="10"/>
        <rFont val="Verdana"/>
        <family val="0"/>
      </rPr>
      <t>i</t>
    </r>
    <r>
      <rPr>
        <sz val="10"/>
        <rFont val="Arial"/>
        <family val="0"/>
      </rPr>
      <t>-m</t>
    </r>
    <r>
      <rPr>
        <vertAlign val="subscript"/>
        <sz val="10"/>
        <rFont val="Verdana"/>
        <family val="0"/>
      </rPr>
      <t>f</t>
    </r>
    <r>
      <rPr>
        <sz val="10"/>
        <color indexed="10"/>
        <rFont val="Verdana"/>
        <family val="0"/>
      </rPr>
      <t>)</t>
    </r>
    <r>
      <rPr>
        <sz val="10"/>
        <rFont val="Arial"/>
        <family val="0"/>
      </rPr>
      <t>/(p*pi*L) + R</t>
    </r>
    <r>
      <rPr>
        <vertAlign val="subscript"/>
        <sz val="10"/>
        <rFont val="Verdana"/>
        <family val="0"/>
      </rPr>
      <t>i</t>
    </r>
    <r>
      <rPr>
        <vertAlign val="superscript"/>
        <sz val="10"/>
        <rFont val="Verdana"/>
        <family val="0"/>
      </rPr>
      <t>2</t>
    </r>
    <r>
      <rPr>
        <sz val="10"/>
        <color indexed="48"/>
        <rFont val="Verdana"/>
        <family val="0"/>
      </rPr>
      <t>)</t>
    </r>
    <r>
      <rPr>
        <sz val="10"/>
        <rFont val="Arial"/>
        <family val="0"/>
      </rPr>
      <t>-R</t>
    </r>
    <r>
      <rPr>
        <vertAlign val="subscript"/>
        <sz val="10"/>
        <rFont val="Verdana"/>
        <family val="0"/>
      </rPr>
      <t>i</t>
    </r>
    <r>
      <rPr>
        <sz val="10"/>
        <rFont val="Arial"/>
        <family val="0"/>
      </rPr>
      <t>]/t</t>
    </r>
  </si>
  <si>
    <t>m</t>
  </si>
  <si>
    <t>p =</t>
  </si>
  <si>
    <t>Regression (m/s)</t>
  </si>
  <si>
    <t>lbf</t>
  </si>
  <si>
    <t>=</t>
  </si>
  <si>
    <t>N</t>
  </si>
  <si>
    <t>s</t>
  </si>
  <si>
    <t>Average Isp =</t>
  </si>
  <si>
    <t>Total Impulse(Ns)</t>
  </si>
  <si>
    <t>Mass Flow (kg/s)</t>
  </si>
  <si>
    <t>Average total imp =</t>
  </si>
  <si>
    <t>Just FYI</t>
  </si>
  <si>
    <t>ftlbf/lbmR</t>
  </si>
  <si>
    <t>T =</t>
  </si>
  <si>
    <t>K</t>
  </si>
  <si>
    <t>chamber temperature</t>
  </si>
  <si>
    <t>R</t>
  </si>
  <si>
    <r>
      <t>At 100,000 ft or 30480 m = Atmospheric pressure or Pe = 23.085lb</t>
    </r>
    <r>
      <rPr>
        <vertAlign val="subscript"/>
        <sz val="10"/>
        <rFont val="Arial"/>
        <family val="0"/>
      </rPr>
      <t>f</t>
    </r>
    <r>
      <rPr>
        <sz val="10"/>
        <rFont val="Arial"/>
        <family val="0"/>
      </rPr>
      <t>/ft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 xml:space="preserve"> or 1105.31577856 Pa</t>
    </r>
  </si>
  <si>
    <r>
      <t>m</t>
    </r>
    <r>
      <rPr>
        <vertAlign val="subscript"/>
        <sz val="10"/>
        <rFont val="Verdana"/>
        <family val="0"/>
      </rPr>
      <t xml:space="preserve">flow </t>
    </r>
    <r>
      <rPr>
        <sz val="10"/>
        <rFont val="Verdana"/>
        <family val="0"/>
      </rPr>
      <t>=</t>
    </r>
  </si>
  <si>
    <t>lb/s</t>
  </si>
  <si>
    <t>Pt (kPa)</t>
  </si>
  <si>
    <t>previous teams calcs</t>
  </si>
  <si>
    <t>Model 1</t>
  </si>
  <si>
    <t>Throat dia (in)</t>
  </si>
  <si>
    <t>Model 2</t>
  </si>
  <si>
    <t>Pressure Inlet</t>
  </si>
  <si>
    <t>Pressure Outlet</t>
  </si>
  <si>
    <t>Atmosphere Pressure (Psi)</t>
  </si>
  <si>
    <t>Model 3</t>
  </si>
  <si>
    <t>fuel grain OD =</t>
  </si>
  <si>
    <t>r =</t>
  </si>
  <si>
    <t>tb =</t>
  </si>
  <si>
    <t>throat length =</t>
  </si>
  <si>
    <t>do (in)</t>
  </si>
  <si>
    <t>CALCULATIONS ASSUMING AN EXIT TEMP</t>
  </si>
  <si>
    <t>R inner FG =</t>
  </si>
  <si>
    <t>CHAMBER PRESSURE CALCULATIONS</t>
  </si>
  <si>
    <t>Final Dia PostComb (in)</t>
  </si>
  <si>
    <t>Initial R PreComb (in)</t>
  </si>
  <si>
    <t>Initial R PostComb (in)</t>
  </si>
  <si>
    <t>throat length (in)</t>
  </si>
  <si>
    <t>throat length (m)</t>
  </si>
  <si>
    <t>entrance angle =</t>
  </si>
  <si>
    <t>nozzle total L =</t>
  </si>
  <si>
    <t>Lo (in)</t>
  </si>
  <si>
    <t>Lo (m)</t>
  </si>
  <si>
    <r>
      <t>type 1, P</t>
    </r>
    <r>
      <rPr>
        <vertAlign val="subscript"/>
        <sz val="10"/>
        <rFont val="Verdana"/>
        <family val="0"/>
      </rPr>
      <t>1</t>
    </r>
    <r>
      <rPr>
        <sz val="10"/>
        <rFont val="Arial"/>
        <family val="0"/>
      </rPr>
      <t xml:space="preserve"> (psi)</t>
    </r>
  </si>
  <si>
    <t xml:space="preserve">density = </t>
  </si>
  <si>
    <t xml:space="preserve">inner radius (in) = </t>
  </si>
  <si>
    <t>December 9th &amp; 10th of 2006</t>
  </si>
  <si>
    <t>Nozzle</t>
  </si>
  <si>
    <t>Chamber</t>
  </si>
  <si>
    <t>Thrust (lbs)</t>
  </si>
  <si>
    <t>Initial Tank Pres       (psi)</t>
  </si>
  <si>
    <t>Tank Pressure        (psi)</t>
  </si>
  <si>
    <t>**Note: make overall nozzle length longer to accommodate for a larger opening area</t>
  </si>
  <si>
    <t>domax =</t>
  </si>
  <si>
    <t>chamber thickness =</t>
  </si>
  <si>
    <t>Burn Time (s)</t>
  </si>
  <si>
    <t>Fuel Loss (kg)</t>
  </si>
  <si>
    <t>Oxidizer Loss  (kg)</t>
  </si>
  <si>
    <t>O/F Ratio</t>
  </si>
  <si>
    <t>Mass Flow    (kg/s)</t>
  </si>
  <si>
    <t>Isp</t>
  </si>
  <si>
    <t>Thrust (N)</t>
  </si>
  <si>
    <t>Average burn time =</t>
  </si>
  <si>
    <t>Average Thrust =</t>
  </si>
  <si>
    <t>Fuel Mass Flow (kg/s)</t>
  </si>
  <si>
    <t>Oxidizer Mass Flow (kg/s)</t>
  </si>
  <si>
    <t>fuel grain ID =</t>
  </si>
  <si>
    <r>
      <t>At (in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)</t>
    </r>
  </si>
  <si>
    <t>dt (in)</t>
  </si>
  <si>
    <t>Me</t>
  </si>
  <si>
    <t>Mthroat =</t>
  </si>
  <si>
    <t>Pa =</t>
  </si>
  <si>
    <t>Tt (K)</t>
  </si>
  <si>
    <t>FUEL GRAIN DATA</t>
  </si>
  <si>
    <t>density</t>
  </si>
  <si>
    <t>kg/m3</t>
  </si>
  <si>
    <r>
      <t>G</t>
    </r>
    <r>
      <rPr>
        <vertAlign val="subscript"/>
        <sz val="10"/>
        <rFont val="Verdana"/>
        <family val="0"/>
      </rPr>
      <t xml:space="preserve">0 </t>
    </r>
    <r>
      <rPr>
        <sz val="10"/>
        <rFont val="Arial"/>
        <family val="0"/>
      </rPr>
      <t xml:space="preserve">= </t>
    </r>
  </si>
  <si>
    <r>
      <t>lb</t>
    </r>
    <r>
      <rPr>
        <vertAlign val="subscript"/>
        <sz val="10"/>
        <rFont val="Verdana"/>
        <family val="0"/>
      </rPr>
      <t>m</t>
    </r>
    <r>
      <rPr>
        <sz val="10"/>
        <rFont val="Arial"/>
        <family val="0"/>
      </rPr>
      <t>/in</t>
    </r>
    <r>
      <rPr>
        <vertAlign val="superscript"/>
        <sz val="10"/>
        <rFont val="Verdana"/>
        <family val="0"/>
      </rPr>
      <t>2</t>
    </r>
    <r>
      <rPr>
        <sz val="10"/>
        <rFont val="Arial"/>
        <family val="0"/>
      </rPr>
      <t>s</t>
    </r>
  </si>
  <si>
    <r>
      <t>r</t>
    </r>
    <r>
      <rPr>
        <vertAlign val="subscript"/>
        <sz val="10"/>
        <rFont val="Verdana"/>
        <family val="0"/>
      </rPr>
      <t xml:space="preserve">HTPB </t>
    </r>
    <r>
      <rPr>
        <sz val="10"/>
        <rFont val="Verdana"/>
        <family val="0"/>
      </rPr>
      <t>=</t>
    </r>
  </si>
  <si>
    <t>in/s</t>
  </si>
  <si>
    <t>mm/s</t>
  </si>
  <si>
    <t>Regression Formula Type 2 (Empirical)</t>
  </si>
  <si>
    <t>Theo Burn Time (s)</t>
  </si>
  <si>
    <t xml:space="preserve">half angle = </t>
  </si>
  <si>
    <t>deg</t>
  </si>
  <si>
    <t>rad</t>
  </si>
  <si>
    <t>Regression (in/s)</t>
  </si>
  <si>
    <t>Average:</t>
  </si>
  <si>
    <t>SMALL ROCKET ANALYSIS</t>
  </si>
  <si>
    <t>LARGE ROCKET ANALYSIS</t>
  </si>
  <si>
    <t>LARGE ROCKET REGRESSION RATE</t>
  </si>
  <si>
    <t>-Stanford</t>
  </si>
  <si>
    <t>DESIGN OF FINAL STEEL ROCKET &amp; FUEL</t>
  </si>
  <si>
    <t>Final Mass (kg)</t>
  </si>
  <si>
    <t>regression</t>
  </si>
  <si>
    <t>opposing entrance angle =</t>
  </si>
  <si>
    <t>raidus Loss (in)</t>
  </si>
  <si>
    <t>App Reg Rate (in/s)</t>
  </si>
  <si>
    <t>least squares regression analysis</t>
  </si>
  <si>
    <t>Given:</t>
  </si>
  <si>
    <t>To=</t>
  </si>
  <si>
    <t>Gamma=</t>
  </si>
  <si>
    <t>Pa=</t>
  </si>
  <si>
    <t>M=</t>
  </si>
  <si>
    <t>R_bar=</t>
  </si>
  <si>
    <t>R=</t>
  </si>
  <si>
    <t>k</t>
  </si>
  <si>
    <t>kPa</t>
  </si>
  <si>
    <t>J/(kg*k)</t>
  </si>
  <si>
    <t>kg/kmol</t>
  </si>
  <si>
    <t>J/(kmol*k)</t>
  </si>
  <si>
    <t>exit velocity, type 1, assuming that plume temperature = 1600 K</t>
  </si>
  <si>
    <t>Red lettering denotes an unproven assumption</t>
  </si>
  <si>
    <t>Regression Formula Type 1 (Empirical)</t>
  </si>
  <si>
    <r>
      <t>Volt = Vol</t>
    </r>
    <r>
      <rPr>
        <vertAlign val="subscript"/>
        <sz val="10"/>
        <rFont val="Arial"/>
        <family val="0"/>
      </rPr>
      <t>1</t>
    </r>
    <r>
      <rPr>
        <sz val="10"/>
        <rFont val="Arial"/>
        <family val="0"/>
      </rPr>
      <t>((k+1)/2)</t>
    </r>
    <r>
      <rPr>
        <vertAlign val="superscript"/>
        <sz val="10"/>
        <rFont val="Arial"/>
        <family val="0"/>
      </rPr>
      <t>1/(k-1)</t>
    </r>
  </si>
  <si>
    <t>specific volume at exit</t>
  </si>
  <si>
    <r>
      <t>Volt (m</t>
    </r>
    <r>
      <rPr>
        <vertAlign val="superscript"/>
        <sz val="10"/>
        <rFont val="Arial"/>
        <family val="0"/>
      </rPr>
      <t>3</t>
    </r>
    <r>
      <rPr>
        <sz val="10"/>
        <rFont val="Arial"/>
        <family val="0"/>
      </rPr>
      <t>/kg)</t>
    </r>
  </si>
  <si>
    <r>
      <t>Vol2 (m</t>
    </r>
    <r>
      <rPr>
        <vertAlign val="superscript"/>
        <sz val="10"/>
        <rFont val="Arial"/>
        <family val="0"/>
      </rPr>
      <t>3</t>
    </r>
    <r>
      <rPr>
        <sz val="10"/>
        <rFont val="Arial"/>
        <family val="0"/>
      </rPr>
      <t>/kg)</t>
    </r>
  </si>
  <si>
    <t>Calc'd</t>
  </si>
  <si>
    <r>
      <t>Vol2 = Vol</t>
    </r>
    <r>
      <rPr>
        <vertAlign val="subscript"/>
        <sz val="10"/>
        <rFont val="Arial"/>
        <family val="0"/>
      </rPr>
      <t>1</t>
    </r>
    <r>
      <rPr>
        <sz val="10"/>
        <rFont val="Arial"/>
        <family val="0"/>
      </rPr>
      <t>(P</t>
    </r>
    <r>
      <rPr>
        <vertAlign val="subscript"/>
        <sz val="10"/>
        <rFont val="Arial"/>
        <family val="0"/>
      </rPr>
      <t>01</t>
    </r>
    <r>
      <rPr>
        <sz val="10"/>
        <rFont val="Arial"/>
        <family val="0"/>
      </rPr>
      <t>/Pe)</t>
    </r>
    <r>
      <rPr>
        <vertAlign val="superscript"/>
        <sz val="10"/>
        <rFont val="Arial"/>
        <family val="0"/>
      </rPr>
      <t>1/k</t>
    </r>
  </si>
  <si>
    <r>
      <t>characteristic velovity, c* = sqrt(kRT)/(k(sqrt(2/(k+1))</t>
    </r>
    <r>
      <rPr>
        <vertAlign val="superscript"/>
        <sz val="10"/>
        <rFont val="Verdana"/>
        <family val="0"/>
      </rPr>
      <t>(k+1)/(k-1)</t>
    </r>
    <r>
      <rPr>
        <sz val="10"/>
        <rFont val="Arial"/>
        <family val="0"/>
      </rPr>
      <t>))</t>
    </r>
  </si>
  <si>
    <r>
      <t>r</t>
    </r>
    <r>
      <rPr>
        <vertAlign val="subscript"/>
        <sz val="10"/>
        <rFont val="Arial"/>
        <family val="0"/>
      </rPr>
      <t>HTPB</t>
    </r>
    <r>
      <rPr>
        <sz val="10"/>
        <rFont val="Arial"/>
        <family val="0"/>
      </rPr>
      <t xml:space="preserve"> Mulato (exper) in/s</t>
    </r>
  </si>
  <si>
    <t>9 / Pre 1.5</t>
  </si>
  <si>
    <t>small</t>
  </si>
  <si>
    <t>long</t>
  </si>
  <si>
    <t>Small ID FG</t>
  </si>
  <si>
    <t>reg rate</t>
  </si>
  <si>
    <t>Total Mass Flow (kg/s)</t>
  </si>
  <si>
    <t>Oxidizer Mass Flow (lbm/s)</t>
  </si>
  <si>
    <r>
      <t>Go (lbm/in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s)</t>
    </r>
  </si>
  <si>
    <r>
      <t>r</t>
    </r>
    <r>
      <rPr>
        <vertAlign val="subscript"/>
        <sz val="10"/>
        <rFont val="Verdana"/>
        <family val="0"/>
      </rPr>
      <t xml:space="preserve">HTPB </t>
    </r>
    <r>
      <rPr>
        <sz val="10"/>
        <rFont val="Arial"/>
        <family val="0"/>
      </rPr>
      <t>=</t>
    </r>
  </si>
  <si>
    <r>
      <t>type 1, m</t>
    </r>
    <r>
      <rPr>
        <vertAlign val="subscript"/>
        <sz val="10"/>
        <rFont val="Verdana"/>
        <family val="0"/>
      </rPr>
      <t>flow</t>
    </r>
    <r>
      <rPr>
        <sz val="10"/>
        <rFont val="Verdana"/>
        <family val="0"/>
      </rPr>
      <t>= (g</t>
    </r>
    <r>
      <rPr>
        <vertAlign val="subscript"/>
        <sz val="10"/>
        <rFont val="Verdana"/>
        <family val="0"/>
      </rPr>
      <t>0</t>
    </r>
    <r>
      <rPr>
        <sz val="10"/>
        <rFont val="Verdana"/>
        <family val="0"/>
      </rPr>
      <t>P</t>
    </r>
    <r>
      <rPr>
        <vertAlign val="subscript"/>
        <sz val="10"/>
        <rFont val="Verdana"/>
        <family val="0"/>
      </rPr>
      <t>1</t>
    </r>
    <r>
      <rPr>
        <sz val="10"/>
        <rFont val="Verdana"/>
        <family val="0"/>
      </rPr>
      <t>A</t>
    </r>
    <r>
      <rPr>
        <vertAlign val="subscript"/>
        <sz val="10"/>
        <rFont val="Verdana"/>
        <family val="0"/>
      </rPr>
      <t>t</t>
    </r>
    <r>
      <rPr>
        <sz val="10"/>
        <rFont val="Verdana"/>
        <family val="0"/>
      </rPr>
      <t>)/c*</t>
    </r>
  </si>
  <si>
    <r>
      <t>type 2, m</t>
    </r>
    <r>
      <rPr>
        <vertAlign val="subscript"/>
        <sz val="10"/>
        <rFont val="Verdana"/>
        <family val="0"/>
      </rPr>
      <t>flow</t>
    </r>
    <r>
      <rPr>
        <sz val="10"/>
        <rFont val="Verdana"/>
        <family val="0"/>
      </rPr>
      <t>= (P</t>
    </r>
    <r>
      <rPr>
        <vertAlign val="subscript"/>
        <sz val="10"/>
        <rFont val="Verdana"/>
        <family val="0"/>
      </rPr>
      <t>1</t>
    </r>
    <r>
      <rPr>
        <sz val="10"/>
        <rFont val="Verdana"/>
        <family val="0"/>
      </rPr>
      <t>A</t>
    </r>
    <r>
      <rPr>
        <vertAlign val="subscript"/>
        <sz val="10"/>
        <rFont val="Verdana"/>
        <family val="0"/>
      </rPr>
      <t>t</t>
    </r>
    <r>
      <rPr>
        <sz val="10"/>
        <rFont val="Verdana"/>
        <family val="0"/>
      </rPr>
      <t>)/c*</t>
    </r>
  </si>
  <si>
    <r>
      <t>g</t>
    </r>
    <r>
      <rPr>
        <vertAlign val="subscript"/>
        <sz val="10"/>
        <rFont val="Verdana"/>
        <family val="0"/>
      </rPr>
      <t>0</t>
    </r>
    <r>
      <rPr>
        <sz val="10"/>
        <rFont val="Arial"/>
        <family val="0"/>
      </rPr>
      <t xml:space="preserve"> =</t>
    </r>
  </si>
  <si>
    <t>-U of Arkansas</t>
  </si>
  <si>
    <t>Ve (m/s)</t>
  </si>
  <si>
    <t>R_bar =</t>
  </si>
  <si>
    <t>exit speed of sound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</si>
</sst>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</numFmts>
  <fonts count="5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2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0"/>
      <name val="Verdana"/>
      <family val="0"/>
    </font>
    <font>
      <vertAlign val="subscript"/>
      <sz val="10"/>
      <name val="Verdana"/>
      <family val="0"/>
    </font>
    <font>
      <sz val="10"/>
      <name val="Verdana"/>
      <family val="0"/>
    </font>
    <font>
      <vertAlign val="superscript"/>
      <sz val="10"/>
      <name val="Verdana"/>
      <family val="0"/>
    </font>
    <font>
      <sz val="10"/>
      <color indexed="48"/>
      <name val="Verdana"/>
      <family val="0"/>
    </font>
    <font>
      <sz val="10"/>
      <color indexed="10"/>
      <name val="Verdana"/>
      <family val="0"/>
    </font>
    <font>
      <sz val="10"/>
      <color indexed="51"/>
      <name val="Verdana"/>
      <family val="0"/>
    </font>
    <font>
      <sz val="10"/>
      <color indexed="10"/>
      <name val="Arial"/>
      <family val="0"/>
    </font>
    <font>
      <vertAlign val="subscript"/>
      <sz val="10"/>
      <name val="Arial"/>
      <family val="0"/>
    </font>
    <font>
      <vertAlign val="superscript"/>
      <sz val="10"/>
      <name val="Arial"/>
      <family val="0"/>
    </font>
    <font>
      <sz val="10"/>
      <color indexed="22"/>
      <name val="Arial"/>
      <family val="0"/>
    </font>
    <font>
      <b/>
      <sz val="12"/>
      <name val="Arial"/>
      <family val="2"/>
    </font>
    <font>
      <sz val="10"/>
      <color indexed="55"/>
      <name val="Arial"/>
      <family val="0"/>
    </font>
    <font>
      <sz val="10"/>
      <color indexed="11"/>
      <name val="Arial"/>
      <family val="0"/>
    </font>
    <font>
      <b/>
      <i/>
      <sz val="10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16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0" fillId="33" borderId="18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4" fillId="0" borderId="0" xfId="0" applyFont="1" applyAlignment="1">
      <alignment/>
    </xf>
    <xf numFmtId="0" fontId="5" fillId="3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0" fillId="33" borderId="23" xfId="0" applyFill="1" applyBorder="1" applyAlignment="1">
      <alignment/>
    </xf>
    <xf numFmtId="0" fontId="5" fillId="0" borderId="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3" borderId="24" xfId="0" applyFill="1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34" borderId="29" xfId="0" applyFill="1" applyBorder="1" applyAlignment="1">
      <alignment/>
    </xf>
    <xf numFmtId="0" fontId="0" fillId="35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9" xfId="0" applyFill="1" applyBorder="1" applyAlignment="1">
      <alignment/>
    </xf>
    <xf numFmtId="0" fontId="0" fillId="0" borderId="33" xfId="0" applyFill="1" applyBorder="1" applyAlignment="1">
      <alignment/>
    </xf>
    <xf numFmtId="0" fontId="15" fillId="34" borderId="0" xfId="0" applyFont="1" applyFill="1" applyAlignment="1">
      <alignment horizontal="right"/>
    </xf>
    <xf numFmtId="0" fontId="15" fillId="34" borderId="0" xfId="0" applyFont="1" applyFill="1" applyAlignment="1">
      <alignment/>
    </xf>
    <xf numFmtId="0" fontId="18" fillId="0" borderId="0" xfId="0" applyFont="1" applyAlignment="1">
      <alignment/>
    </xf>
    <xf numFmtId="0" fontId="0" fillId="0" borderId="34" xfId="0" applyBorder="1" applyAlignment="1">
      <alignment/>
    </xf>
    <xf numFmtId="0" fontId="0" fillId="0" borderId="31" xfId="0" applyBorder="1" applyAlignment="1">
      <alignment horizontal="left"/>
    </xf>
    <xf numFmtId="0" fontId="0" fillId="35" borderId="35" xfId="0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22" xfId="0" applyBorder="1" applyAlignment="1">
      <alignment horizontal="right"/>
    </xf>
    <xf numFmtId="0" fontId="0" fillId="34" borderId="22" xfId="0" applyFill="1" applyBorder="1" applyAlignment="1">
      <alignment/>
    </xf>
    <xf numFmtId="0" fontId="0" fillId="35" borderId="35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 horizontal="center"/>
    </xf>
    <xf numFmtId="0" fontId="0" fillId="35" borderId="38" xfId="0" applyFill="1" applyBorder="1" applyAlignment="1">
      <alignment/>
    </xf>
    <xf numFmtId="0" fontId="8" fillId="0" borderId="34" xfId="0" applyFont="1" applyBorder="1" applyAlignment="1">
      <alignment/>
    </xf>
    <xf numFmtId="49" fontId="0" fillId="0" borderId="36" xfId="0" applyNumberFormat="1" applyBorder="1" applyAlignment="1">
      <alignment horizontal="right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49" fontId="0" fillId="0" borderId="26" xfId="0" applyNumberFormat="1" applyBorder="1" applyAlignment="1">
      <alignment horizontal="right"/>
    </xf>
    <xf numFmtId="0" fontId="0" fillId="0" borderId="19" xfId="0" applyBorder="1" applyAlignment="1">
      <alignment/>
    </xf>
    <xf numFmtId="172" fontId="2" fillId="0" borderId="21" xfId="0" applyNumberFormat="1" applyFont="1" applyBorder="1" applyAlignment="1">
      <alignment horizontal="center" vertical="center" wrapText="1"/>
    </xf>
    <xf numFmtId="172" fontId="2" fillId="0" borderId="22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Font="1" applyBorder="1" applyAlignment="1">
      <alignment wrapText="1"/>
    </xf>
    <xf numFmtId="0" fontId="0" fillId="0" borderId="0" xfId="0" applyAlignment="1">
      <alignment wrapText="1"/>
    </xf>
    <xf numFmtId="172" fontId="2" fillId="36" borderId="21" xfId="0" applyNumberFormat="1" applyFont="1" applyFill="1" applyBorder="1" applyAlignment="1">
      <alignment horizontal="center" vertical="center" wrapText="1"/>
    </xf>
    <xf numFmtId="0" fontId="0" fillId="36" borderId="21" xfId="0" applyFill="1" applyBorder="1" applyAlignment="1">
      <alignment horizontal="center" vertical="center"/>
    </xf>
    <xf numFmtId="0" fontId="0" fillId="35" borderId="0" xfId="0" applyFill="1" applyAlignment="1">
      <alignment/>
    </xf>
    <xf numFmtId="0" fontId="20" fillId="35" borderId="0" xfId="0" applyFont="1" applyFill="1" applyAlignment="1">
      <alignment wrapText="1"/>
    </xf>
    <xf numFmtId="0" fontId="20" fillId="35" borderId="0" xfId="0" applyFont="1" applyFill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0" borderId="0" xfId="0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5" fillId="0" borderId="0" xfId="0" applyFont="1" applyBorder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15" fillId="37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38" borderId="0" xfId="0" applyFill="1" applyAlignment="1">
      <alignment/>
    </xf>
    <xf numFmtId="172" fontId="2" fillId="34" borderId="22" xfId="0" applyNumberFormat="1" applyFont="1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/>
    </xf>
    <xf numFmtId="0" fontId="2" fillId="38" borderId="0" xfId="0" applyFont="1" applyFill="1" applyAlignment="1">
      <alignment/>
    </xf>
    <xf numFmtId="0" fontId="0" fillId="38" borderId="0" xfId="0" applyFill="1" applyAlignment="1">
      <alignment wrapText="1"/>
    </xf>
    <xf numFmtId="0" fontId="0" fillId="39" borderId="0" xfId="0" applyFill="1" applyAlignment="1">
      <alignment wrapText="1"/>
    </xf>
    <xf numFmtId="0" fontId="0" fillId="40" borderId="0" xfId="0" applyFill="1" applyAlignment="1">
      <alignment wrapText="1"/>
    </xf>
    <xf numFmtId="0" fontId="0" fillId="36" borderId="0" xfId="0" applyFill="1" applyAlignment="1">
      <alignment wrapText="1"/>
    </xf>
    <xf numFmtId="0" fontId="0" fillId="0" borderId="0" xfId="0" applyFill="1" applyAlignment="1">
      <alignment wrapText="1"/>
    </xf>
    <xf numFmtId="16" fontId="0" fillId="0" borderId="0" xfId="0" applyNumberFormat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36" borderId="0" xfId="0" applyFill="1" applyAlignment="1">
      <alignment/>
    </xf>
    <xf numFmtId="16" fontId="15" fillId="0" borderId="0" xfId="0" applyNumberFormat="1" applyFont="1" applyAlignment="1">
      <alignment/>
    </xf>
    <xf numFmtId="16" fontId="21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Alignment="1">
      <alignment wrapText="1"/>
    </xf>
    <xf numFmtId="0" fontId="2" fillId="0" borderId="0" xfId="0" applyFont="1" applyAlignment="1">
      <alignment/>
    </xf>
    <xf numFmtId="0" fontId="3" fillId="38" borderId="0" xfId="0" applyFont="1" applyFill="1" applyAlignment="1">
      <alignment/>
    </xf>
    <xf numFmtId="0" fontId="22" fillId="0" borderId="0" xfId="0" applyFont="1" applyAlignment="1">
      <alignment/>
    </xf>
    <xf numFmtId="0" fontId="0" fillId="0" borderId="22" xfId="0" applyBorder="1" applyAlignment="1">
      <alignment horizontal="right" wrapText="1"/>
    </xf>
    <xf numFmtId="0" fontId="0" fillId="34" borderId="22" xfId="0" applyFill="1" applyBorder="1" applyAlignment="1">
      <alignment horizontal="right" wrapText="1"/>
    </xf>
    <xf numFmtId="172" fontId="2" fillId="0" borderId="22" xfId="0" applyNumberFormat="1" applyFont="1" applyFill="1" applyBorder="1" applyAlignment="1">
      <alignment horizontal="center" vertical="center" wrapText="1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0" fillId="41" borderId="0" xfId="0" applyFill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40" xfId="0" applyBorder="1" applyAlignment="1">
      <alignment horizontal="right"/>
    </xf>
    <xf numFmtId="0" fontId="0" fillId="0" borderId="41" xfId="0" applyBorder="1" applyAlignment="1">
      <alignment/>
    </xf>
    <xf numFmtId="0" fontId="0" fillId="0" borderId="42" xfId="0" applyBorder="1" applyAlignment="1">
      <alignment horizontal="righ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0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43" xfId="0" applyBorder="1" applyAlignment="1">
      <alignment horizontal="left"/>
    </xf>
    <xf numFmtId="0" fontId="0" fillId="0" borderId="39" xfId="0" applyBorder="1" applyAlignment="1">
      <alignment horizontal="right"/>
    </xf>
    <xf numFmtId="0" fontId="15" fillId="0" borderId="0" xfId="0" applyFont="1" applyFill="1" applyAlignment="1">
      <alignment/>
    </xf>
    <xf numFmtId="49" fontId="0" fillId="0" borderId="0" xfId="0" applyNumberFormat="1" applyBorder="1" applyAlignment="1">
      <alignment horizontal="right"/>
    </xf>
    <xf numFmtId="0" fontId="0" fillId="41" borderId="45" xfId="0" applyFill="1" applyBorder="1" applyAlignment="1">
      <alignment horizontal="center" vertical="center"/>
    </xf>
    <xf numFmtId="0" fontId="0" fillId="42" borderId="0" xfId="0" applyFill="1" applyAlignment="1">
      <alignment/>
    </xf>
    <xf numFmtId="0" fontId="2" fillId="42" borderId="0" xfId="0" applyFont="1" applyFill="1" applyAlignment="1">
      <alignment/>
    </xf>
    <xf numFmtId="0" fontId="0" fillId="0" borderId="46" xfId="0" applyBorder="1" applyAlignment="1">
      <alignment wrapText="1"/>
    </xf>
    <xf numFmtId="0" fontId="15" fillId="0" borderId="47" xfId="0" applyFont="1" applyBorder="1" applyAlignment="1">
      <alignment wrapText="1"/>
    </xf>
    <xf numFmtId="0" fontId="0" fillId="0" borderId="47" xfId="0" applyBorder="1" applyAlignment="1">
      <alignment wrapText="1"/>
    </xf>
    <xf numFmtId="0" fontId="0" fillId="36" borderId="47" xfId="0" applyFill="1" applyBorder="1" applyAlignment="1">
      <alignment wrapText="1"/>
    </xf>
    <xf numFmtId="0" fontId="0" fillId="36" borderId="48" xfId="0" applyFill="1" applyBorder="1" applyAlignment="1">
      <alignment wrapText="1"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0" borderId="49" xfId="0" applyBorder="1" applyAlignment="1">
      <alignment wrapText="1"/>
    </xf>
    <xf numFmtId="0" fontId="0" fillId="36" borderId="46" xfId="0" applyFill="1" applyBorder="1" applyAlignment="1">
      <alignment wrapText="1"/>
    </xf>
    <xf numFmtId="172" fontId="0" fillId="0" borderId="0" xfId="0" applyNumberFormat="1" applyAlignment="1">
      <alignment/>
    </xf>
    <xf numFmtId="172" fontId="15" fillId="43" borderId="0" xfId="0" applyNumberFormat="1" applyFont="1" applyFill="1" applyAlignment="1">
      <alignment/>
    </xf>
    <xf numFmtId="172" fontId="0" fillId="43" borderId="0" xfId="0" applyNumberFormat="1" applyFill="1" applyAlignment="1">
      <alignment/>
    </xf>
    <xf numFmtId="0" fontId="0" fillId="38" borderId="46" xfId="0" applyFill="1" applyBorder="1" applyAlignment="1">
      <alignment wrapText="1"/>
    </xf>
    <xf numFmtId="0" fontId="0" fillId="38" borderId="48" xfId="0" applyFill="1" applyBorder="1" applyAlignment="1">
      <alignment wrapText="1"/>
    </xf>
    <xf numFmtId="0" fontId="0" fillId="38" borderId="10" xfId="0" applyFill="1" applyBorder="1" applyAlignment="1">
      <alignment/>
    </xf>
    <xf numFmtId="0" fontId="0" fillId="38" borderId="12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7" xfId="0" applyFill="1" applyBorder="1" applyAlignment="1">
      <alignment/>
    </xf>
    <xf numFmtId="0" fontId="0" fillId="0" borderId="0" xfId="0" applyFont="1" applyBorder="1" applyAlignment="1">
      <alignment wrapText="1"/>
    </xf>
    <xf numFmtId="49" fontId="0" fillId="0" borderId="0" xfId="0" applyNumberFormat="1" applyBorder="1" applyAlignment="1">
      <alignment wrapText="1"/>
    </xf>
    <xf numFmtId="0" fontId="0" fillId="38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172" fontId="0" fillId="0" borderId="0" xfId="0" applyNumberFormat="1" applyFill="1" applyAlignment="1">
      <alignment/>
    </xf>
    <xf numFmtId="0" fontId="0" fillId="0" borderId="0" xfId="0" applyNumberFormat="1" applyBorder="1" applyAlignment="1">
      <alignment horizontal="right"/>
    </xf>
    <xf numFmtId="0" fontId="0" fillId="0" borderId="1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33" borderId="34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33" borderId="25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50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33" borderId="50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8" fillId="0" borderId="34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0" fillId="0" borderId="0" xfId="0" applyBorder="1" applyAlignment="1">
      <alignment horizontal="center"/>
    </xf>
    <xf numFmtId="172" fontId="19" fillId="0" borderId="10" xfId="0" applyNumberFormat="1" applyFont="1" applyBorder="1" applyAlignment="1">
      <alignment horizontal="center" vertical="center" wrapText="1"/>
    </xf>
    <xf numFmtId="172" fontId="19" fillId="0" borderId="12" xfId="0" applyNumberFormat="1" applyFont="1" applyBorder="1" applyAlignment="1">
      <alignment horizontal="center" vertical="center" wrapText="1"/>
    </xf>
    <xf numFmtId="172" fontId="19" fillId="0" borderId="13" xfId="0" applyNumberFormat="1" applyFont="1" applyBorder="1" applyAlignment="1">
      <alignment horizontal="center" vertical="center" wrapText="1"/>
    </xf>
    <xf numFmtId="172" fontId="19" fillId="0" borderId="14" xfId="0" applyNumberFormat="1" applyFont="1" applyBorder="1" applyAlignment="1">
      <alignment horizontal="center" vertical="center" wrapText="1"/>
    </xf>
    <xf numFmtId="172" fontId="19" fillId="0" borderId="15" xfId="0" applyNumberFormat="1" applyFont="1" applyBorder="1" applyAlignment="1">
      <alignment horizontal="center" vertical="center" wrapText="1"/>
    </xf>
    <xf numFmtId="172" fontId="19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zoomScaleSheetLayoutView="100" zoomScalePageLayoutView="0" workbookViewId="0" topLeftCell="A1">
      <selection activeCell="J12" sqref="J12"/>
    </sheetView>
  </sheetViews>
  <sheetFormatPr defaultColWidth="8.8515625" defaultRowHeight="12.75"/>
  <cols>
    <col min="1" max="1" width="11.421875" style="0" customWidth="1"/>
    <col min="2" max="2" width="8.8515625" style="0" customWidth="1"/>
    <col min="3" max="3" width="9.7109375" style="0" customWidth="1"/>
    <col min="4" max="5" width="11.00390625" style="0" customWidth="1"/>
    <col min="6" max="10" width="8.8515625" style="0" customWidth="1"/>
    <col min="11" max="11" width="8.7109375" style="0" customWidth="1"/>
    <col min="12" max="14" width="8.8515625" style="0" customWidth="1"/>
    <col min="15" max="15" width="10.140625" style="0" customWidth="1"/>
    <col min="16" max="16" width="8.8515625" style="0" customWidth="1"/>
    <col min="17" max="17" width="11.140625" style="0" customWidth="1"/>
    <col min="18" max="20" width="8.8515625" style="0" customWidth="1"/>
    <col min="21" max="21" width="10.421875" style="0" customWidth="1"/>
    <col min="22" max="24" width="8.8515625" style="0" customWidth="1"/>
    <col min="25" max="25" width="9.8515625" style="0" customWidth="1"/>
  </cols>
  <sheetData>
    <row r="1" ht="12" customHeight="1"/>
    <row r="2" spans="1:6" ht="12.75" customHeight="1">
      <c r="A2" s="115" t="s">
        <v>209</v>
      </c>
      <c r="F2" s="32"/>
    </row>
    <row r="3" ht="12" customHeight="1"/>
    <row r="4" ht="14.25">
      <c r="A4" t="s">
        <v>307</v>
      </c>
    </row>
    <row r="5" ht="14.25">
      <c r="A5" t="s">
        <v>308</v>
      </c>
    </row>
    <row r="6" ht="12" customHeight="1"/>
    <row r="7" spans="1:7" ht="14.25">
      <c r="A7" s="24" t="s">
        <v>309</v>
      </c>
      <c r="B7">
        <v>32.174</v>
      </c>
      <c r="C7" t="s">
        <v>134</v>
      </c>
      <c r="E7" t="s">
        <v>208</v>
      </c>
      <c r="F7">
        <v>0.59</v>
      </c>
      <c r="G7" t="s">
        <v>72</v>
      </c>
    </row>
    <row r="8" spans="1:7" ht="14.25">
      <c r="A8" s="24" t="s">
        <v>309</v>
      </c>
      <c r="B8">
        <v>0.99999849082</v>
      </c>
      <c r="C8" t="s">
        <v>135</v>
      </c>
      <c r="E8" t="s">
        <v>208</v>
      </c>
      <c r="F8">
        <f>F7*0.0254</f>
        <v>0.014986</v>
      </c>
      <c r="G8" t="s">
        <v>173</v>
      </c>
    </row>
    <row r="9" spans="1:3" ht="15.75" customHeight="1">
      <c r="A9" s="24" t="s">
        <v>83</v>
      </c>
      <c r="B9">
        <f>B10*0.0254</f>
        <v>0.010718799999999999</v>
      </c>
      <c r="C9" t="s">
        <v>173</v>
      </c>
    </row>
    <row r="10" spans="1:3" ht="14.25">
      <c r="A10" s="24" t="s">
        <v>83</v>
      </c>
      <c r="B10">
        <v>0.422</v>
      </c>
      <c r="C10" t="s">
        <v>72</v>
      </c>
    </row>
    <row r="11" spans="1:3" ht="36" customHeight="1">
      <c r="A11" s="24" t="s">
        <v>84</v>
      </c>
      <c r="B11">
        <f>(PI()*$B$9^2)/4</f>
        <v>9.023649470759876E-05</v>
      </c>
      <c r="C11" t="s">
        <v>85</v>
      </c>
    </row>
    <row r="12" spans="1:3" ht="15.75">
      <c r="A12" s="24" t="s">
        <v>84</v>
      </c>
      <c r="B12">
        <f>(PI()*$B$10^2)/4</f>
        <v>0.13986684653047118</v>
      </c>
      <c r="C12" t="s">
        <v>86</v>
      </c>
    </row>
    <row r="13" spans="1:2" ht="12" customHeight="1">
      <c r="A13" s="24" t="s">
        <v>87</v>
      </c>
      <c r="B13">
        <v>1.26</v>
      </c>
    </row>
    <row r="14" spans="1:4" ht="12" customHeight="1">
      <c r="A14" s="24" t="s">
        <v>312</v>
      </c>
      <c r="B14" s="12">
        <v>8314.4</v>
      </c>
      <c r="C14" s="5" t="s">
        <v>286</v>
      </c>
      <c r="D14" s="5"/>
    </row>
    <row r="15" spans="1:4" ht="12" customHeight="1">
      <c r="A15" s="84" t="s">
        <v>279</v>
      </c>
      <c r="B15" s="17">
        <v>36.1495652174</v>
      </c>
      <c r="C15" s="5" t="s">
        <v>285</v>
      </c>
      <c r="D15" s="5"/>
    </row>
    <row r="16" spans="1:4" ht="13.5" customHeight="1">
      <c r="A16" s="28" t="s">
        <v>88</v>
      </c>
      <c r="B16" s="29">
        <v>230</v>
      </c>
      <c r="C16" s="29" t="s">
        <v>89</v>
      </c>
      <c r="D16" s="29" t="s">
        <v>90</v>
      </c>
    </row>
    <row r="17" spans="1:4" ht="12.75" customHeight="1">
      <c r="A17" s="30" t="s">
        <v>88</v>
      </c>
      <c r="B17" s="31">
        <v>0.23007</v>
      </c>
      <c r="C17" s="31" t="s">
        <v>143</v>
      </c>
      <c r="D17" s="31" t="s">
        <v>184</v>
      </c>
    </row>
    <row r="18" spans="1:4" ht="12.75" customHeight="1">
      <c r="A18" s="30" t="s">
        <v>88</v>
      </c>
      <c r="B18" s="31">
        <f>$B$17*(1/1.055)*(5/9)*(778.17)*(0.4536)</f>
        <v>42.76441717421801</v>
      </c>
      <c r="C18" s="31" t="s">
        <v>185</v>
      </c>
      <c r="D18" s="31" t="s">
        <v>184</v>
      </c>
    </row>
    <row r="19" spans="1:4" ht="12.75" customHeight="1">
      <c r="A19" s="24" t="s">
        <v>186</v>
      </c>
      <c r="B19">
        <v>2600</v>
      </c>
      <c r="C19" t="s">
        <v>187</v>
      </c>
      <c r="D19" t="s">
        <v>188</v>
      </c>
    </row>
    <row r="20" spans="1:4" ht="48" customHeight="1">
      <c r="A20" s="24" t="s">
        <v>186</v>
      </c>
      <c r="B20">
        <f>$B$19*1.8</f>
        <v>4680</v>
      </c>
      <c r="C20" t="s">
        <v>189</v>
      </c>
      <c r="D20" t="s">
        <v>188</v>
      </c>
    </row>
    <row r="21" spans="1:3" ht="14.25">
      <c r="A21" s="24" t="s">
        <v>191</v>
      </c>
      <c r="B21">
        <f>0.22</f>
        <v>0.22</v>
      </c>
      <c r="C21" t="s">
        <v>113</v>
      </c>
    </row>
    <row r="22" spans="1:3" ht="14.25">
      <c r="A22" s="24" t="s">
        <v>191</v>
      </c>
      <c r="B22">
        <f>$B$21*2.20462262185</f>
        <v>0.485016976807</v>
      </c>
      <c r="C22" t="s">
        <v>192</v>
      </c>
    </row>
    <row r="23" ht="48" customHeight="1"/>
    <row r="24" ht="15">
      <c r="A24" s="25" t="s">
        <v>296</v>
      </c>
    </row>
    <row r="25" spans="2:4" ht="12" customHeight="1">
      <c r="B25" s="24" t="s">
        <v>127</v>
      </c>
      <c r="C25">
        <f>(SQRT($B$13*$B$16*$B$19))/($B$13*SQRT((2/($B$13+1))^(($B$13+1)/($B$13-1))))</f>
        <v>1171.797051059232</v>
      </c>
      <c r="D25" t="s">
        <v>128</v>
      </c>
    </row>
    <row r="26" spans="2:4" ht="12" customHeight="1">
      <c r="B26" s="24" t="s">
        <v>127</v>
      </c>
      <c r="C26">
        <f>C25*3.28083989501</f>
        <v>3844.4785139701985</v>
      </c>
      <c r="D26" t="s">
        <v>129</v>
      </c>
    </row>
    <row r="27" ht="12" customHeight="1">
      <c r="B27" s="24"/>
    </row>
    <row r="28" spans="1:2" ht="14.25">
      <c r="A28" t="s">
        <v>130</v>
      </c>
      <c r="B28" s="24"/>
    </row>
    <row r="29" spans="1:2" ht="14.25">
      <c r="A29" t="s">
        <v>6</v>
      </c>
      <c r="B29" s="24"/>
    </row>
    <row r="30" ht="12" customHeight="1">
      <c r="B30" s="24"/>
    </row>
    <row r="31" ht="12.75" customHeight="1"/>
    <row r="32" spans="2:7" ht="27.75">
      <c r="B32" s="116" t="s">
        <v>131</v>
      </c>
      <c r="C32" s="116" t="s">
        <v>165</v>
      </c>
      <c r="D32" s="117" t="s">
        <v>171</v>
      </c>
      <c r="E32" s="117" t="s">
        <v>219</v>
      </c>
      <c r="F32" s="116" t="s">
        <v>94</v>
      </c>
      <c r="G32" s="116" t="s">
        <v>95</v>
      </c>
    </row>
    <row r="33" spans="2:7" ht="12.75">
      <c r="B33" s="26">
        <v>0.0107188</v>
      </c>
      <c r="C33" s="26">
        <f>(PI()*$F$8^2)/4</f>
        <v>0.00017638487347383894</v>
      </c>
      <c r="D33" s="61">
        <f>($C$25*$B$21)/($B$8*$B$11)</f>
        <v>2856890.0102842487</v>
      </c>
      <c r="E33" s="61">
        <f>D33*0.00014503773773021</f>
        <v>414.3568640356638</v>
      </c>
      <c r="F33" s="26">
        <f>($C$25*$B$21)/$B$11</f>
        <v>2856885.6987229832</v>
      </c>
      <c r="G33" s="26">
        <f>$F$33*0.00014503773773021</f>
        <v>414.3562386965718</v>
      </c>
    </row>
  </sheetData>
  <sheetProtection/>
  <printOptions/>
  <pageMargins left="0.787401575" right="0.5" top="0.984251969" bottom="0.984251969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2:T71"/>
  <sheetViews>
    <sheetView zoomScalePageLayoutView="0" workbookViewId="0" topLeftCell="A11">
      <selection activeCell="E44" sqref="E44"/>
    </sheetView>
  </sheetViews>
  <sheetFormatPr defaultColWidth="8.8515625" defaultRowHeight="12.75"/>
  <cols>
    <col min="1" max="1" width="11.421875" style="0" customWidth="1"/>
    <col min="2" max="2" width="8.8515625" style="0" customWidth="1"/>
    <col min="3" max="3" width="9.7109375" style="0" customWidth="1"/>
    <col min="4" max="4" width="11.00390625" style="0" customWidth="1"/>
    <col min="5" max="10" width="8.8515625" style="0" customWidth="1"/>
    <col min="11" max="11" width="8.7109375" style="0" customWidth="1"/>
    <col min="12" max="14" width="8.8515625" style="0" customWidth="1"/>
    <col min="15" max="15" width="10.140625" style="0" customWidth="1"/>
    <col min="16" max="16" width="8.8515625" style="0" customWidth="1"/>
    <col min="17" max="17" width="11.140625" style="0" customWidth="1"/>
    <col min="18" max="20" width="8.8515625" style="0" customWidth="1"/>
    <col min="21" max="21" width="10.421875" style="0" customWidth="1"/>
    <col min="22" max="24" width="8.8515625" style="0" customWidth="1"/>
    <col min="25" max="25" width="9.8515625" style="0" customWidth="1"/>
  </cols>
  <sheetData>
    <row r="2" spans="1:2" ht="26.25" thickBot="1">
      <c r="A2" s="16" t="s">
        <v>119</v>
      </c>
      <c r="B2" s="16"/>
    </row>
    <row r="3" spans="2:15" ht="13.5" thickBot="1">
      <c r="B3" s="34">
        <v>1</v>
      </c>
      <c r="E3" s="34">
        <v>2</v>
      </c>
      <c r="H3" s="34">
        <v>3</v>
      </c>
      <c r="K3" s="34">
        <v>4</v>
      </c>
      <c r="M3" s="63"/>
      <c r="N3" s="64">
        <v>5</v>
      </c>
      <c r="O3" s="65"/>
    </row>
    <row r="4" spans="1:15" ht="13.5" thickBot="1">
      <c r="A4" s="187" t="s">
        <v>118</v>
      </c>
      <c r="B4" s="188"/>
      <c r="C4" s="189"/>
      <c r="D4" s="187" t="s">
        <v>60</v>
      </c>
      <c r="E4" s="188"/>
      <c r="F4" s="189"/>
      <c r="G4" s="187" t="s">
        <v>61</v>
      </c>
      <c r="H4" s="188"/>
      <c r="I4" s="189"/>
      <c r="J4" s="187" t="s">
        <v>63</v>
      </c>
      <c r="K4" s="188"/>
      <c r="L4" s="188"/>
      <c r="M4" s="177"/>
      <c r="N4" s="178"/>
      <c r="O4" s="179"/>
    </row>
    <row r="5" spans="1:15" ht="12.75">
      <c r="A5" s="185" t="s">
        <v>275</v>
      </c>
      <c r="B5" s="186"/>
      <c r="C5" s="6"/>
      <c r="D5" s="185" t="s">
        <v>275</v>
      </c>
      <c r="E5" s="186"/>
      <c r="F5" s="6"/>
      <c r="G5" s="185" t="s">
        <v>275</v>
      </c>
      <c r="H5" s="186"/>
      <c r="I5" s="6"/>
      <c r="J5" s="185" t="s">
        <v>275</v>
      </c>
      <c r="K5" s="186"/>
      <c r="L5" s="5"/>
      <c r="M5" s="180" t="s">
        <v>275</v>
      </c>
      <c r="N5" s="176"/>
      <c r="O5" s="39"/>
    </row>
    <row r="6" spans="1:15" ht="12.75">
      <c r="A6" s="4" t="s">
        <v>276</v>
      </c>
      <c r="B6" s="12">
        <v>5000</v>
      </c>
      <c r="C6" s="6" t="s">
        <v>282</v>
      </c>
      <c r="D6" s="4" t="s">
        <v>276</v>
      </c>
      <c r="E6" s="12">
        <v>5000</v>
      </c>
      <c r="F6" s="6" t="s">
        <v>282</v>
      </c>
      <c r="G6" s="4" t="s">
        <v>276</v>
      </c>
      <c r="H6" s="12">
        <v>5000</v>
      </c>
      <c r="I6" s="6" t="s">
        <v>282</v>
      </c>
      <c r="J6" s="4" t="s">
        <v>276</v>
      </c>
      <c r="K6" s="12">
        <v>5000</v>
      </c>
      <c r="L6" s="5" t="s">
        <v>282</v>
      </c>
      <c r="M6" s="40" t="s">
        <v>276</v>
      </c>
      <c r="N6" s="12">
        <v>2600</v>
      </c>
      <c r="O6" s="39" t="s">
        <v>282</v>
      </c>
    </row>
    <row r="7" spans="1:15" ht="12.75">
      <c r="A7" s="4" t="s">
        <v>277</v>
      </c>
      <c r="B7" s="12">
        <v>1.26</v>
      </c>
      <c r="C7" s="6"/>
      <c r="D7" s="4" t="s">
        <v>277</v>
      </c>
      <c r="E7" s="12">
        <v>1.26</v>
      </c>
      <c r="F7" s="6"/>
      <c r="G7" s="4" t="s">
        <v>277</v>
      </c>
      <c r="H7" s="12">
        <v>1.26</v>
      </c>
      <c r="I7" s="6"/>
      <c r="J7" s="4" t="s">
        <v>277</v>
      </c>
      <c r="K7" s="12">
        <v>1.26</v>
      </c>
      <c r="L7" s="5"/>
      <c r="M7" s="40" t="s">
        <v>277</v>
      </c>
      <c r="N7" s="12">
        <v>1.26</v>
      </c>
      <c r="O7" s="39"/>
    </row>
    <row r="8" spans="1:15" ht="12.75">
      <c r="A8" s="4" t="s">
        <v>278</v>
      </c>
      <c r="B8" s="12">
        <v>101.3</v>
      </c>
      <c r="C8" s="6" t="s">
        <v>283</v>
      </c>
      <c r="D8" s="4" t="s">
        <v>278</v>
      </c>
      <c r="E8" s="12">
        <v>101.3</v>
      </c>
      <c r="F8" s="6" t="s">
        <v>283</v>
      </c>
      <c r="G8" s="4" t="s">
        <v>278</v>
      </c>
      <c r="H8" s="12">
        <v>101.3</v>
      </c>
      <c r="I8" s="6" t="s">
        <v>283</v>
      </c>
      <c r="J8" s="4" t="s">
        <v>278</v>
      </c>
      <c r="K8" s="12">
        <v>101.3</v>
      </c>
      <c r="L8" s="5" t="s">
        <v>283</v>
      </c>
      <c r="M8" s="40" t="s">
        <v>278</v>
      </c>
      <c r="N8" s="12">
        <v>101.3</v>
      </c>
      <c r="O8" s="39" t="s">
        <v>283</v>
      </c>
    </row>
    <row r="9" spans="1:15" ht="12.75">
      <c r="A9" s="4" t="s">
        <v>280</v>
      </c>
      <c r="B9" s="12">
        <v>8314.4</v>
      </c>
      <c r="C9" s="6" t="s">
        <v>286</v>
      </c>
      <c r="D9" s="4" t="s">
        <v>280</v>
      </c>
      <c r="E9" s="12">
        <v>8314.4</v>
      </c>
      <c r="F9" s="6" t="s">
        <v>286</v>
      </c>
      <c r="G9" s="4" t="s">
        <v>280</v>
      </c>
      <c r="H9" s="12">
        <v>8314.4</v>
      </c>
      <c r="I9" s="6" t="s">
        <v>286</v>
      </c>
      <c r="J9" s="4" t="s">
        <v>280</v>
      </c>
      <c r="K9" s="12">
        <v>8314.4</v>
      </c>
      <c r="L9" s="5" t="s">
        <v>286</v>
      </c>
      <c r="M9" s="40" t="s">
        <v>280</v>
      </c>
      <c r="N9" s="12">
        <v>8314.4</v>
      </c>
      <c r="O9" s="39" t="s">
        <v>286</v>
      </c>
    </row>
    <row r="10" spans="1:15" ht="12.75">
      <c r="A10" s="4" t="s">
        <v>279</v>
      </c>
      <c r="B10" s="17">
        <v>30</v>
      </c>
      <c r="C10" s="6" t="s">
        <v>285</v>
      </c>
      <c r="D10" s="4" t="s">
        <v>279</v>
      </c>
      <c r="E10" s="17">
        <v>0.361385</v>
      </c>
      <c r="F10" s="6" t="s">
        <v>285</v>
      </c>
      <c r="G10" s="4" t="s">
        <v>279</v>
      </c>
      <c r="H10" s="17">
        <v>361.385</v>
      </c>
      <c r="I10" s="6" t="s">
        <v>285</v>
      </c>
      <c r="J10" s="4" t="s">
        <v>279</v>
      </c>
      <c r="K10" s="17">
        <v>361.385</v>
      </c>
      <c r="L10" s="5" t="s">
        <v>285</v>
      </c>
      <c r="M10" s="40" t="s">
        <v>279</v>
      </c>
      <c r="N10" s="17">
        <f>36.1495652174</f>
        <v>36.1495652174</v>
      </c>
      <c r="O10" s="39" t="s">
        <v>285</v>
      </c>
    </row>
    <row r="11" spans="1:15" ht="12.75">
      <c r="A11" s="4" t="s">
        <v>281</v>
      </c>
      <c r="B11" s="5">
        <f>B9/B10</f>
        <v>277.14666666666665</v>
      </c>
      <c r="C11" s="6" t="s">
        <v>284</v>
      </c>
      <c r="D11" s="4" t="s">
        <v>281</v>
      </c>
      <c r="E11" s="5">
        <f>E9/E10</f>
        <v>23007.04235095535</v>
      </c>
      <c r="F11" s="6" t="s">
        <v>284</v>
      </c>
      <c r="G11" s="4" t="s">
        <v>281</v>
      </c>
      <c r="H11" s="5">
        <f>H9/H10</f>
        <v>23.007042350955352</v>
      </c>
      <c r="I11" s="6" t="s">
        <v>284</v>
      </c>
      <c r="J11" s="4" t="s">
        <v>281</v>
      </c>
      <c r="K11" s="5">
        <f>K9/K10</f>
        <v>23.007042350955352</v>
      </c>
      <c r="L11" s="5" t="s">
        <v>284</v>
      </c>
      <c r="M11" s="40" t="s">
        <v>281</v>
      </c>
      <c r="N11" s="5">
        <f>N9/N10</f>
        <v>229.99999999994463</v>
      </c>
      <c r="O11" s="39" t="s">
        <v>284</v>
      </c>
    </row>
    <row r="12" spans="1:15" ht="12.75">
      <c r="A12" s="4" t="s">
        <v>112</v>
      </c>
      <c r="B12" s="12">
        <v>0.2</v>
      </c>
      <c r="C12" s="6" t="s">
        <v>113</v>
      </c>
      <c r="D12" s="4" t="s">
        <v>112</v>
      </c>
      <c r="E12" s="12">
        <v>0.2</v>
      </c>
      <c r="F12" s="6" t="s">
        <v>113</v>
      </c>
      <c r="G12" s="4" t="s">
        <v>112</v>
      </c>
      <c r="H12" s="12">
        <v>0.2</v>
      </c>
      <c r="I12" s="6" t="s">
        <v>113</v>
      </c>
      <c r="J12" s="4" t="s">
        <v>112</v>
      </c>
      <c r="K12" s="17">
        <v>0.3</v>
      </c>
      <c r="L12" s="5" t="s">
        <v>113</v>
      </c>
      <c r="M12" s="40" t="s">
        <v>112</v>
      </c>
      <c r="N12" s="17">
        <f>'Chamber Pressure Calcs'!B21</f>
        <v>0.22</v>
      </c>
      <c r="O12" s="39" t="s">
        <v>113</v>
      </c>
    </row>
    <row r="13" spans="1:15" ht="13.5" thickBot="1">
      <c r="A13" s="4"/>
      <c r="B13" s="5"/>
      <c r="C13" s="6"/>
      <c r="D13" s="4"/>
      <c r="E13" s="5"/>
      <c r="F13" s="6"/>
      <c r="G13" s="4"/>
      <c r="H13" s="5"/>
      <c r="I13" s="6"/>
      <c r="J13" s="4"/>
      <c r="K13" s="5"/>
      <c r="L13" s="5"/>
      <c r="M13" s="40"/>
      <c r="N13" s="5"/>
      <c r="O13" s="39"/>
    </row>
    <row r="14" spans="1:15" ht="13.5" thickBot="1">
      <c r="A14" s="183" t="s">
        <v>105</v>
      </c>
      <c r="B14" s="184"/>
      <c r="C14" s="11"/>
      <c r="D14" s="183" t="s">
        <v>105</v>
      </c>
      <c r="E14" s="184"/>
      <c r="F14" s="11"/>
      <c r="G14" s="183" t="s">
        <v>105</v>
      </c>
      <c r="H14" s="184"/>
      <c r="I14" s="11"/>
      <c r="J14" s="183" t="s">
        <v>105</v>
      </c>
      <c r="K14" s="184"/>
      <c r="L14" s="37"/>
      <c r="M14" s="181" t="s">
        <v>105</v>
      </c>
      <c r="N14" s="182"/>
      <c r="O14" s="41"/>
    </row>
    <row r="15" spans="1:15" ht="12.75">
      <c r="A15" s="1" t="s">
        <v>107</v>
      </c>
      <c r="B15" s="2">
        <v>573</v>
      </c>
      <c r="C15" s="3" t="s">
        <v>108</v>
      </c>
      <c r="D15" s="1" t="s">
        <v>107</v>
      </c>
      <c r="E15" s="2">
        <v>532.5</v>
      </c>
      <c r="F15" s="3" t="s">
        <v>108</v>
      </c>
      <c r="G15" s="1" t="s">
        <v>107</v>
      </c>
      <c r="H15" s="2">
        <v>165.213</v>
      </c>
      <c r="I15" s="3" t="s">
        <v>108</v>
      </c>
      <c r="J15" s="1" t="s">
        <v>107</v>
      </c>
      <c r="K15" s="19">
        <v>300</v>
      </c>
      <c r="L15" s="2" t="s">
        <v>108</v>
      </c>
      <c r="M15" s="40" t="s">
        <v>107</v>
      </c>
      <c r="N15" s="38">
        <f>'Chamber Pressure Calcs'!$E$33</f>
        <v>414.3568640356638</v>
      </c>
      <c r="O15" s="39" t="s">
        <v>108</v>
      </c>
    </row>
    <row r="16" spans="1:20" ht="12.75">
      <c r="A16" s="4" t="s">
        <v>107</v>
      </c>
      <c r="B16" s="12">
        <v>3950</v>
      </c>
      <c r="C16" s="6" t="s">
        <v>283</v>
      </c>
      <c r="D16" s="4" t="s">
        <v>107</v>
      </c>
      <c r="E16" s="12">
        <v>3671.458251</v>
      </c>
      <c r="F16" s="6" t="s">
        <v>283</v>
      </c>
      <c r="G16" s="4" t="s">
        <v>107</v>
      </c>
      <c r="H16" s="12">
        <v>1139.103</v>
      </c>
      <c r="I16" s="6" t="s">
        <v>283</v>
      </c>
      <c r="J16" s="4" t="s">
        <v>107</v>
      </c>
      <c r="K16" s="12">
        <v>2068.47</v>
      </c>
      <c r="L16" s="5" t="s">
        <v>283</v>
      </c>
      <c r="M16" s="40" t="s">
        <v>107</v>
      </c>
      <c r="N16" s="12">
        <f>N15*6894.75729317/1000</f>
        <v>2856.890010284943</v>
      </c>
      <c r="O16" s="39" t="s">
        <v>283</v>
      </c>
      <c r="P16" s="35"/>
      <c r="S16" s="24"/>
      <c r="T16" s="24"/>
    </row>
    <row r="17" spans="1:15" ht="12.75">
      <c r="A17" s="4" t="s">
        <v>110</v>
      </c>
      <c r="B17" s="5">
        <v>1</v>
      </c>
      <c r="C17" s="6"/>
      <c r="D17" s="4" t="s">
        <v>110</v>
      </c>
      <c r="E17" s="5">
        <v>1</v>
      </c>
      <c r="F17" s="6"/>
      <c r="G17" s="4" t="s">
        <v>110</v>
      </c>
      <c r="H17" s="5">
        <v>1</v>
      </c>
      <c r="I17" s="6"/>
      <c r="J17" s="4" t="s">
        <v>110</v>
      </c>
      <c r="K17" s="5">
        <v>1</v>
      </c>
      <c r="L17" s="5"/>
      <c r="M17" s="40" t="s">
        <v>110</v>
      </c>
      <c r="N17" s="5">
        <v>1</v>
      </c>
      <c r="O17" s="39"/>
    </row>
    <row r="18" spans="1:15" ht="12.75">
      <c r="A18" s="4" t="s">
        <v>114</v>
      </c>
      <c r="B18" s="5">
        <f>B16*(1-((B7-1)/2))^(-B7/(B7-1))</f>
        <v>7757.04127228255</v>
      </c>
      <c r="C18" s="6" t="s">
        <v>283</v>
      </c>
      <c r="D18" s="4" t="s">
        <v>114</v>
      </c>
      <c r="E18" s="5">
        <f>E16*(1-((E7-1)/2))^(-E7/(E7-1))</f>
        <v>7210.038780371976</v>
      </c>
      <c r="F18" s="6" t="s">
        <v>283</v>
      </c>
      <c r="G18" s="4" t="s">
        <v>114</v>
      </c>
      <c r="H18" s="5">
        <f>H16*(1-((H7-1)/2))^(-H7/(H7-1))</f>
        <v>2236.9794897166757</v>
      </c>
      <c r="I18" s="6" t="s">
        <v>283</v>
      </c>
      <c r="J18" s="4" t="s">
        <v>114</v>
      </c>
      <c r="K18" s="5">
        <f>K16*(1-((K7-1)/2))^(-K7/(K7-1))</f>
        <v>4062.0777621464013</v>
      </c>
      <c r="L18" s="5" t="s">
        <v>283</v>
      </c>
      <c r="M18" s="40" t="s">
        <v>114</v>
      </c>
      <c r="N18" s="5">
        <f>N16*(1-((N7-1)/2))^(-N7/(N7-1))</f>
        <v>5610.383220291651</v>
      </c>
      <c r="O18" s="39" t="s">
        <v>283</v>
      </c>
    </row>
    <row r="19" spans="1:15" ht="12.75">
      <c r="A19" s="4" t="s">
        <v>115</v>
      </c>
      <c r="B19" s="5">
        <f>B6*(1/(1+(B7-1)/2))</f>
        <v>4424.778761061947</v>
      </c>
      <c r="C19" s="6" t="s">
        <v>282</v>
      </c>
      <c r="D19" s="4" t="s">
        <v>115</v>
      </c>
      <c r="E19" s="5">
        <f>E6*(1/(1+(E7-1)/2))</f>
        <v>4424.778761061947</v>
      </c>
      <c r="F19" s="6" t="s">
        <v>282</v>
      </c>
      <c r="G19" s="4" t="s">
        <v>115</v>
      </c>
      <c r="H19" s="5">
        <f>H6*(1/(1+(H7-1)/2))</f>
        <v>4424.778761061947</v>
      </c>
      <c r="I19" s="6" t="s">
        <v>282</v>
      </c>
      <c r="J19" s="4" t="s">
        <v>115</v>
      </c>
      <c r="K19" s="5">
        <f>K6*(1/(1+(K7-1)/2))</f>
        <v>4424.778761061947</v>
      </c>
      <c r="L19" s="5" t="s">
        <v>282</v>
      </c>
      <c r="M19" s="40" t="s">
        <v>115</v>
      </c>
      <c r="N19" s="5">
        <f>N6*(1/(1+(N7-1)/2))</f>
        <v>2300.8849557522126</v>
      </c>
      <c r="O19" s="39" t="s">
        <v>282</v>
      </c>
    </row>
    <row r="20" spans="1:15" ht="12.75">
      <c r="A20" s="4"/>
      <c r="B20" s="5"/>
      <c r="C20" s="6"/>
      <c r="D20" s="4"/>
      <c r="E20" s="5"/>
      <c r="F20" s="6"/>
      <c r="G20" s="4"/>
      <c r="H20" s="5"/>
      <c r="I20" s="6"/>
      <c r="J20" s="4"/>
      <c r="K20" s="5"/>
      <c r="L20" s="5"/>
      <c r="M20" s="40"/>
      <c r="N20" s="5"/>
      <c r="O20" s="39"/>
    </row>
    <row r="21" spans="1:15" ht="12.75">
      <c r="A21" s="175" t="s">
        <v>106</v>
      </c>
      <c r="B21" s="176"/>
      <c r="C21" s="6"/>
      <c r="D21" s="175" t="s">
        <v>106</v>
      </c>
      <c r="E21" s="176"/>
      <c r="F21" s="6"/>
      <c r="G21" s="175" t="s">
        <v>106</v>
      </c>
      <c r="H21" s="176"/>
      <c r="I21" s="6"/>
      <c r="J21" s="175" t="s">
        <v>106</v>
      </c>
      <c r="K21" s="176"/>
      <c r="L21" s="5"/>
      <c r="M21" s="180" t="s">
        <v>106</v>
      </c>
      <c r="N21" s="176"/>
      <c r="O21" s="39"/>
    </row>
    <row r="22" spans="1:15" ht="12.75">
      <c r="A22" s="4">
        <f>SQRT((2/(B7-1))*((B16/B8)^((B7-1)/B7)-1))</f>
        <v>2.9477565231604363</v>
      </c>
      <c r="B22" s="5"/>
      <c r="C22" s="6"/>
      <c r="D22" s="4">
        <f>SQRT((2/(E7-1))*((E16/E8)^((E7-1)/E7)-1))</f>
        <v>2.9058445109869044</v>
      </c>
      <c r="E22" s="5"/>
      <c r="F22" s="6"/>
      <c r="G22" s="4">
        <f>SQRT((2/(H7-1))*((H16/H8)^((H7-1)/H7)-1))</f>
        <v>2.232012181223866</v>
      </c>
      <c r="H22" s="5"/>
      <c r="I22" s="6"/>
      <c r="J22" s="4">
        <f>SQRT((2/(K7-1))*((K16/K8)^((K7-1)/K7)-1))</f>
        <v>2.5772436138409165</v>
      </c>
      <c r="K22" s="5"/>
      <c r="L22" s="5"/>
      <c r="M22" s="40">
        <f>SQRT((2/(N7-1))*((N16/N8)^((N7-1)/N7)-1))</f>
        <v>2.7622290906842113</v>
      </c>
      <c r="N22" s="5"/>
      <c r="O22" s="39"/>
    </row>
    <row r="23" spans="1:15" ht="12.75">
      <c r="A23" s="175" t="s">
        <v>109</v>
      </c>
      <c r="B23" s="176"/>
      <c r="C23" s="6"/>
      <c r="D23" s="175" t="s">
        <v>109</v>
      </c>
      <c r="E23" s="176"/>
      <c r="F23" s="6"/>
      <c r="G23" s="175" t="s">
        <v>109</v>
      </c>
      <c r="H23" s="176"/>
      <c r="I23" s="6"/>
      <c r="J23" s="175" t="s">
        <v>109</v>
      </c>
      <c r="K23" s="176"/>
      <c r="L23" s="5"/>
      <c r="M23" s="180" t="s">
        <v>109</v>
      </c>
      <c r="N23" s="176"/>
      <c r="O23" s="39"/>
    </row>
    <row r="24" spans="1:15" ht="12.75">
      <c r="A24" s="4">
        <f>(B17/A22)*SQRT(((1+((B7-1)/2)*(A22^2))/(1+((B7-1)/2)*(B17^2)))^((B7+1)/(B7-1)))</f>
        <v>5.329168355545741</v>
      </c>
      <c r="B24" s="5"/>
      <c r="C24" s="6"/>
      <c r="D24" s="4">
        <f>(E17/D22)*SQRT(((1+((E7-1)/2)*(D22^2))/(1+((E7-1)/2)*(E17^2)))^((E7+1)/(E7-1)))</f>
        <v>5.062870825245713</v>
      </c>
      <c r="E24" s="5"/>
      <c r="F24" s="6"/>
      <c r="G24" s="4">
        <f>(H17/G22)*SQRT(((1+((H7-1)/2)*(G22^2))/(1+((H7-1)/2)*(H17^2)))^((H7+1)/(H7-1)))</f>
        <v>2.3074813153413145</v>
      </c>
      <c r="H24" s="5"/>
      <c r="I24" s="6"/>
      <c r="J24" s="4">
        <f>(K17/J22)*SQRT(((1+((K7-1)/2)*(J22^2))/(1+((K7-1)/2)*(K17^2)))^((K7+1)/(K7-1)))</f>
        <v>3.4121993281506193</v>
      </c>
      <c r="K24" s="5"/>
      <c r="L24" s="5"/>
      <c r="M24" s="40">
        <f>(N17/M22)*SQRT(((1+((N7-1)/2)*(M22^2))/(1+((N7-1)/2)*(N17^2)))^((N7+1)/(N7-1)))</f>
        <v>4.2530923712662325</v>
      </c>
      <c r="N24" s="5"/>
      <c r="O24" s="39"/>
    </row>
    <row r="25" spans="1:15" ht="12.75">
      <c r="A25" s="175" t="s">
        <v>111</v>
      </c>
      <c r="B25" s="176"/>
      <c r="C25" s="6"/>
      <c r="D25" s="175" t="s">
        <v>111</v>
      </c>
      <c r="E25" s="176"/>
      <c r="F25" s="6"/>
      <c r="G25" s="175" t="s">
        <v>111</v>
      </c>
      <c r="H25" s="176"/>
      <c r="I25" s="6"/>
      <c r="J25" s="175" t="s">
        <v>111</v>
      </c>
      <c r="K25" s="176"/>
      <c r="L25" s="5"/>
      <c r="M25" s="180" t="s">
        <v>111</v>
      </c>
      <c r="N25" s="176"/>
      <c r="O25" s="39"/>
    </row>
    <row r="26" spans="1:15" ht="12.75">
      <c r="A26" s="4">
        <f>(B12/(B18*1000))*((B9*B19)/(B10*B7))^0.5</f>
        <v>2.543602429613346E-05</v>
      </c>
      <c r="B26" s="5" t="s">
        <v>116</v>
      </c>
      <c r="C26" s="6"/>
      <c r="D26" s="4">
        <f>(E12/(E18*1000))*((E9*E19)/(E10*E7))^0.5</f>
        <v>0.00024933503024131905</v>
      </c>
      <c r="E26" s="5" t="s">
        <v>116</v>
      </c>
      <c r="F26" s="6"/>
      <c r="G26" s="4">
        <f>(H12/(H18*1000))*((H9*H19)/(H10*H7))^0.5</f>
        <v>2.541317325676874E-05</v>
      </c>
      <c r="H26" s="5" t="s">
        <v>116</v>
      </c>
      <c r="I26" s="6"/>
      <c r="J26" s="4">
        <f>(K12/(K18*1000))*((K9*K19)/(K10*K7))^0.5</f>
        <v>2.0992488575835064E-05</v>
      </c>
      <c r="K26" s="5" t="s">
        <v>116</v>
      </c>
      <c r="L26" s="5"/>
      <c r="M26" s="40">
        <f>(N12/(N18*1000))*((N9*N19)/(N10*N7))^0.5</f>
        <v>2.541301843615122E-05</v>
      </c>
      <c r="N26" s="5" t="s">
        <v>116</v>
      </c>
      <c r="O26" s="39"/>
    </row>
    <row r="27" spans="1:15" ht="12.75">
      <c r="A27" s="175" t="s">
        <v>117</v>
      </c>
      <c r="B27" s="176"/>
      <c r="C27" s="6"/>
      <c r="D27" s="175" t="s">
        <v>117</v>
      </c>
      <c r="E27" s="176"/>
      <c r="F27" s="6"/>
      <c r="G27" s="175" t="s">
        <v>117</v>
      </c>
      <c r="H27" s="176"/>
      <c r="I27" s="6"/>
      <c r="J27" s="175" t="s">
        <v>117</v>
      </c>
      <c r="K27" s="176"/>
      <c r="L27" s="5"/>
      <c r="M27" s="180" t="s">
        <v>117</v>
      </c>
      <c r="N27" s="176"/>
      <c r="O27" s="39"/>
    </row>
    <row r="28" spans="1:15" ht="12.75">
      <c r="A28" s="4">
        <f>A26*A24</f>
        <v>0.00013555285576984707</v>
      </c>
      <c r="B28" s="5"/>
      <c r="C28" s="6"/>
      <c r="D28" s="4">
        <f>D26*D24</f>
        <v>0.0012623510503205317</v>
      </c>
      <c r="E28" s="5"/>
      <c r="F28" s="6"/>
      <c r="G28" s="4">
        <f>G26*G24</f>
        <v>5.864042245352545E-05</v>
      </c>
      <c r="H28" s="5"/>
      <c r="I28" s="6"/>
      <c r="J28" s="4">
        <f>J26*J24</f>
        <v>7.163055541467396E-05</v>
      </c>
      <c r="K28" s="5"/>
      <c r="L28" s="5"/>
      <c r="M28" s="40">
        <f>M26*M24</f>
        <v>0.00010808391484164289</v>
      </c>
      <c r="N28" s="5"/>
      <c r="O28" s="39"/>
    </row>
    <row r="29" spans="1:15" ht="12.75">
      <c r="A29" s="10" t="s">
        <v>64</v>
      </c>
      <c r="B29" s="5"/>
      <c r="C29" s="6"/>
      <c r="D29" s="10" t="s">
        <v>64</v>
      </c>
      <c r="E29" s="18"/>
      <c r="F29" s="6"/>
      <c r="G29" s="10" t="s">
        <v>64</v>
      </c>
      <c r="H29" s="5"/>
      <c r="I29" s="6"/>
      <c r="J29" s="10" t="s">
        <v>64</v>
      </c>
      <c r="K29" s="5"/>
      <c r="L29" s="5"/>
      <c r="M29" s="42" t="s">
        <v>64</v>
      </c>
      <c r="N29" s="5"/>
      <c r="O29" s="39"/>
    </row>
    <row r="30" spans="1:15" ht="13.5" thickBot="1">
      <c r="A30" s="7">
        <f>(SQRT(A28/PI())*2)*1000</f>
        <v>13.137399147774694</v>
      </c>
      <c r="B30" s="8" t="s">
        <v>65</v>
      </c>
      <c r="C30" s="9"/>
      <c r="D30" s="7">
        <f>(SQRT(D28/PI())*2)*1000</f>
        <v>40.09083781372084</v>
      </c>
      <c r="E30" s="8" t="s">
        <v>65</v>
      </c>
      <c r="F30" s="9"/>
      <c r="G30" s="7">
        <f>(SQRT(G28/PI())*2)*1000</f>
        <v>8.640793064748417</v>
      </c>
      <c r="H30" s="8" t="s">
        <v>65</v>
      </c>
      <c r="I30" s="9"/>
      <c r="J30" s="7">
        <f>(SQRT(J28/PI())*2)*1000</f>
        <v>9.550018626437662</v>
      </c>
      <c r="K30" s="8" t="s">
        <v>65</v>
      </c>
      <c r="L30" s="8"/>
      <c r="M30" s="43">
        <f>(SQRT(M28/PI())*2)*1000</f>
        <v>11.731015068022353</v>
      </c>
      <c r="N30" s="44" t="s">
        <v>65</v>
      </c>
      <c r="O30" s="45"/>
    </row>
    <row r="31" spans="1:15" ht="12.75" customHeight="1">
      <c r="A31" s="173" t="s">
        <v>144</v>
      </c>
      <c r="B31" s="173"/>
      <c r="C31" s="173"/>
      <c r="D31" s="173" t="s">
        <v>144</v>
      </c>
      <c r="E31" s="173"/>
      <c r="F31" s="173"/>
      <c r="G31" s="5"/>
      <c r="H31" s="5"/>
      <c r="I31" s="5"/>
      <c r="J31" s="173" t="s">
        <v>145</v>
      </c>
      <c r="K31" s="173"/>
      <c r="L31" s="173"/>
      <c r="M31" s="33"/>
      <c r="N31" s="33"/>
      <c r="O31" s="33"/>
    </row>
    <row r="32" spans="1:15" ht="12.75">
      <c r="A32" s="174"/>
      <c r="B32" s="174"/>
      <c r="C32" s="174"/>
      <c r="D32" s="174"/>
      <c r="E32" s="174"/>
      <c r="F32" s="174"/>
      <c r="G32" s="5"/>
      <c r="H32" s="5"/>
      <c r="I32" s="5"/>
      <c r="J32" s="174"/>
      <c r="K32" s="174"/>
      <c r="L32" s="174"/>
      <c r="M32" s="33"/>
      <c r="N32" s="33"/>
      <c r="O32" s="33"/>
    </row>
    <row r="33" spans="1:15" ht="12.75">
      <c r="A33" s="174"/>
      <c r="B33" s="174"/>
      <c r="C33" s="174"/>
      <c r="D33" s="174"/>
      <c r="E33" s="174"/>
      <c r="F33" s="174"/>
      <c r="J33" s="174"/>
      <c r="K33" s="174"/>
      <c r="L33" s="174"/>
      <c r="M33" s="33"/>
      <c r="N33" s="33"/>
      <c r="O33" s="33"/>
    </row>
    <row r="34" spans="10:15" ht="12.75">
      <c r="J34" s="174"/>
      <c r="K34" s="174"/>
      <c r="L34" s="174"/>
      <c r="M34" s="33"/>
      <c r="N34" s="33"/>
      <c r="O34" s="33"/>
    </row>
    <row r="35" spans="1:15" ht="12.75">
      <c r="A35" s="13" t="s">
        <v>62</v>
      </c>
      <c r="B35" s="14"/>
      <c r="C35" s="14"/>
      <c r="D35" s="15"/>
      <c r="J35" s="174"/>
      <c r="K35" s="174"/>
      <c r="L35" s="174"/>
      <c r="M35" s="33"/>
      <c r="N35" s="33"/>
      <c r="O35" s="33"/>
    </row>
    <row r="36" ht="12.75">
      <c r="A36" s="20" t="s">
        <v>288</v>
      </c>
    </row>
    <row r="38" ht="12.75">
      <c r="A38" s="36" t="s">
        <v>207</v>
      </c>
    </row>
    <row r="40" spans="3:7" ht="12.75">
      <c r="C40" s="53" t="s">
        <v>170</v>
      </c>
      <c r="D40" s="53"/>
      <c r="E40" s="54">
        <f>N6-1000</f>
        <v>1600</v>
      </c>
      <c r="F40" s="54" t="s">
        <v>187</v>
      </c>
      <c r="G40" t="s">
        <v>5</v>
      </c>
    </row>
    <row r="41" ht="13.5" thickBot="1"/>
    <row r="42" spans="2:8" ht="13.5" thickBot="1">
      <c r="B42" s="55"/>
      <c r="C42" s="55" t="s">
        <v>2</v>
      </c>
      <c r="D42" s="48" t="s">
        <v>3</v>
      </c>
      <c r="H42" s="62" t="s">
        <v>294</v>
      </c>
    </row>
    <row r="43" spans="2:10" ht="15.75">
      <c r="B43" s="55" t="s">
        <v>148</v>
      </c>
      <c r="C43" s="55" t="s">
        <v>311</v>
      </c>
      <c r="D43" s="47" t="s">
        <v>311</v>
      </c>
      <c r="E43" t="s">
        <v>142</v>
      </c>
      <c r="F43" t="s">
        <v>1</v>
      </c>
      <c r="G43" t="s">
        <v>148</v>
      </c>
      <c r="H43" s="47" t="s">
        <v>153</v>
      </c>
      <c r="I43" t="s">
        <v>292</v>
      </c>
      <c r="J43" t="s">
        <v>293</v>
      </c>
    </row>
    <row r="44" spans="1:10" ht="48" customHeight="1">
      <c r="A44">
        <v>1</v>
      </c>
      <c r="B44" s="55">
        <f>SQRT($B$7*$B$11*$E$40)</f>
        <v>747.4808893878156</v>
      </c>
      <c r="C44" s="55">
        <f>$A$22*B44</f>
        <v>2203.391667630698</v>
      </c>
      <c r="D44" s="51">
        <f>SQRT((2*$B$7)/($B$7-1)*$B$11*$B$6*(1-($B$8/$B$16)^(($B$7-1)/$B$7)))</f>
        <v>2669.114435652082</v>
      </c>
      <c r="E44">
        <f>SQRT((2*$B$7*$B$11*$B$6)/($B$7+1))</f>
        <v>1243.0422286877003</v>
      </c>
      <c r="F44">
        <f>$B$11*$B$6/($B$16*1000)</f>
        <v>0.3508185654008439</v>
      </c>
      <c r="G44">
        <f>D44/$A$22</f>
        <v>905.4731673667511</v>
      </c>
      <c r="H44" s="46">
        <f>G44^2/($B$7*$B$11)</f>
        <v>2347.8533422827422</v>
      </c>
      <c r="I44">
        <f>F44*(($N$7+1)/2)^(1/($N$7-1))</f>
        <v>0.5613457356639603</v>
      </c>
      <c r="J44">
        <f>I44*($B$16/$B$8)^(1/$B$7)</f>
        <v>10.278246739459888</v>
      </c>
    </row>
    <row r="45" spans="1:10" ht="12" customHeight="1">
      <c r="A45">
        <v>2</v>
      </c>
      <c r="B45" s="55">
        <f>SQRT($E$7*$E$11*$E$40)</f>
        <v>6810.447663665435</v>
      </c>
      <c r="C45" s="55">
        <f>$D$22*B45</f>
        <v>19790.101960825792</v>
      </c>
      <c r="D45" s="51">
        <f>SQRT((2*$E$7)/($E$7-1)*$E$11*$E$6*(1-($E$8/$E$16)^(($E$7-1)/$E$7)))</f>
        <v>24154.61912910596</v>
      </c>
      <c r="E45">
        <f>SQRT((2*$E$7*$E$11*$E$6)/($E$7+1))</f>
        <v>11325.605995274318</v>
      </c>
      <c r="F45">
        <f>$E$11*$E$6/($E$16*1000)</f>
        <v>31.33229466069632</v>
      </c>
      <c r="G45">
        <f>D45/$D$22</f>
        <v>8312.426572646307</v>
      </c>
      <c r="H45" s="46">
        <f>G45^2/($E$7*$E$11)</f>
        <v>2383.5502215731403</v>
      </c>
      <c r="I45">
        <f>F45*(($N$7+1)/2)^(1/($N$7-1))</f>
        <v>50.13488945846491</v>
      </c>
      <c r="J45">
        <f>I45*($E$16/$E$8)^(1/$E$7)</f>
        <v>866.2106381342933</v>
      </c>
    </row>
    <row r="46" spans="1:10" ht="12" customHeight="1">
      <c r="A46">
        <v>3</v>
      </c>
      <c r="B46" s="55">
        <f>SQRT($H$7*$H$11*$E$40)</f>
        <v>215.3652650255514</v>
      </c>
      <c r="C46" s="55">
        <f>$G$22*B46</f>
        <v>480.69789494953693</v>
      </c>
      <c r="D46" s="51">
        <f>SQRT((2*$H$7)/($H$7-1)*$H$11*$H$6*(1-($H$8/$H$16)^(($H$7-1)/$H$7)))</f>
        <v>662.011472348868</v>
      </c>
      <c r="E46">
        <f>SQRT((2*$H$7*$H$11*$H$6)/($H$7+1))</f>
        <v>358.1471082672504</v>
      </c>
      <c r="F46">
        <f>$H$11*$H$6/($H$16*1000)</f>
        <v>0.10098754173659165</v>
      </c>
      <c r="G46">
        <f>D46/$G$22</f>
        <v>296.5985033226258</v>
      </c>
      <c r="H46" s="46">
        <f>G46^2/($H$7*$H$11)</f>
        <v>3034.635774701045</v>
      </c>
      <c r="I46">
        <f>F46*(($N$7+1)/2)^(1/($N$7-1))</f>
        <v>0.16159043876212592</v>
      </c>
      <c r="J46">
        <f>I46*($H$16/$H$8)^(1/$H$7)</f>
        <v>1.1028229097577202</v>
      </c>
    </row>
    <row r="47" spans="1:10" ht="12" customHeight="1">
      <c r="A47">
        <v>4</v>
      </c>
      <c r="B47" s="55">
        <f>SQRT($K$7*$K$11*$E$40)</f>
        <v>215.3652650255514</v>
      </c>
      <c r="C47" s="55">
        <f>$J$22*B47</f>
        <v>555.0487539302588</v>
      </c>
      <c r="D47" s="51">
        <f>SQRT((2*$K$7)/($K$7-1)*$K$11*$K$6*(1-($K$8/$K$16)^(($K$7-1)/$K$7)))</f>
        <v>718.775570921387</v>
      </c>
      <c r="E47">
        <f>SQRT((2*$K$7*$K$11*$K$6)/($K$7+1))</f>
        <v>358.1471082672504</v>
      </c>
      <c r="F47">
        <f>$K$11*$K$6/($K$16*1000)</f>
        <v>0.055613671822543606</v>
      </c>
      <c r="G47">
        <f>D47/$J$22</f>
        <v>278.8931426820695</v>
      </c>
      <c r="H47" s="46">
        <f>G47^2/($K$7*$K$11)</f>
        <v>2683.1461872710806</v>
      </c>
      <c r="I47">
        <f>F47*(($N$7+1)/2)^(1/($N$7-1))</f>
        <v>0.08898758675023276</v>
      </c>
      <c r="J47">
        <f>I47*($K$16/$K$8)^(1/$K$7)</f>
        <v>0.9750873927673025</v>
      </c>
    </row>
    <row r="48" spans="1:10" ht="12.75" customHeight="1" thickBot="1">
      <c r="A48">
        <v>5</v>
      </c>
      <c r="B48" s="55">
        <f>SQRT($N$7*$N$11*$E$40)</f>
        <v>680.9405260372512</v>
      </c>
      <c r="C48" s="55">
        <f>$M$22*B48</f>
        <v>1880.913730045905</v>
      </c>
      <c r="D48" s="52">
        <f>SQRT((2*$N$7)/($N$7-1)*$N$11*$N$6*(1-($N$8/$N$16)^(($N$7-1)/$N$7)))</f>
        <v>1698.881454112681</v>
      </c>
      <c r="E48">
        <f>SQRT((2*$N$7*$N$11*$N$6)/($N$7+1))</f>
        <v>816.5760590274679</v>
      </c>
      <c r="F48">
        <f>$N$11*$N$6/($N$16*1000)</f>
        <v>0.20931852393582773</v>
      </c>
      <c r="G48">
        <f>D48/$M$22</f>
        <v>615.0400268544937</v>
      </c>
      <c r="H48" s="59">
        <f>G48^2/($N$7*$N$11)</f>
        <v>1305.294115366692</v>
      </c>
      <c r="I48">
        <f>F48*(($N$7+1)/2)^(1/($N$7-1))</f>
        <v>0.33493113647676087</v>
      </c>
      <c r="J48">
        <f>I48*($N$16/$N$8)^(1/$N$7)</f>
        <v>4.742142828044922</v>
      </c>
    </row>
    <row r="50" ht="12" customHeight="1">
      <c r="B50" s="36" t="s">
        <v>4</v>
      </c>
    </row>
    <row r="51" ht="12.75" customHeight="1">
      <c r="B51" s="36"/>
    </row>
    <row r="52" spans="2:3" ht="15.75">
      <c r="B52" s="25" t="s">
        <v>168</v>
      </c>
      <c r="C52" t="s">
        <v>313</v>
      </c>
    </row>
    <row r="53" ht="12.75" customHeight="1">
      <c r="B53" s="25"/>
    </row>
    <row r="54" spans="2:3" ht="15" customHeight="1">
      <c r="B54" s="25" t="s">
        <v>169</v>
      </c>
      <c r="C54" s="25" t="s">
        <v>287</v>
      </c>
    </row>
    <row r="55" spans="2:3" ht="15" customHeight="1" thickBot="1">
      <c r="B55" s="25"/>
      <c r="C55" s="25"/>
    </row>
    <row r="56" ht="12.75" customHeight="1" thickBot="1">
      <c r="B56" s="58" t="s">
        <v>3</v>
      </c>
    </row>
    <row r="57" spans="2:12" ht="12.75" customHeight="1" thickBot="1">
      <c r="B57" s="57" t="s">
        <v>146</v>
      </c>
      <c r="C57" s="49"/>
      <c r="D57" s="49"/>
      <c r="E57" s="49"/>
      <c r="F57" s="49" t="s">
        <v>147</v>
      </c>
      <c r="G57" s="49"/>
      <c r="H57" s="49"/>
      <c r="I57" s="49"/>
      <c r="J57" s="49"/>
      <c r="K57" s="49"/>
      <c r="L57" s="50"/>
    </row>
    <row r="58" ht="12.75" customHeight="1" thickBot="1"/>
    <row r="59" spans="2:7" ht="12.75" customHeight="1" thickBot="1">
      <c r="B59" s="56" t="s">
        <v>149</v>
      </c>
      <c r="C59" s="49" t="s">
        <v>150</v>
      </c>
      <c r="D59" s="49"/>
      <c r="E59" s="49"/>
      <c r="F59" s="49"/>
      <c r="G59" s="50"/>
    </row>
    <row r="60" ht="12.75" customHeight="1" thickBot="1"/>
    <row r="61" spans="2:6" ht="12.75" customHeight="1" thickBot="1">
      <c r="B61" s="56" t="s">
        <v>151</v>
      </c>
      <c r="C61" s="49" t="s">
        <v>152</v>
      </c>
      <c r="D61" s="49"/>
      <c r="E61" s="49"/>
      <c r="F61" s="50"/>
    </row>
    <row r="63" spans="2:4" ht="12.75" customHeight="1">
      <c r="B63" s="35" t="s">
        <v>140</v>
      </c>
      <c r="D63" t="s">
        <v>141</v>
      </c>
    </row>
    <row r="65" spans="2:4" ht="15.75">
      <c r="B65" t="s">
        <v>139</v>
      </c>
      <c r="D65" t="s">
        <v>0</v>
      </c>
    </row>
    <row r="67" spans="2:4" ht="13.5" customHeight="1">
      <c r="B67" t="s">
        <v>290</v>
      </c>
      <c r="D67" t="s">
        <v>154</v>
      </c>
    </row>
    <row r="69" spans="2:4" ht="12" customHeight="1">
      <c r="B69" t="s">
        <v>295</v>
      </c>
      <c r="D69" t="s">
        <v>291</v>
      </c>
    </row>
    <row r="70" ht="12.75" customHeight="1" thickBot="1"/>
    <row r="71" spans="2:11" ht="12.75" customHeight="1" thickBot="1">
      <c r="B71" s="56"/>
      <c r="C71" s="49" t="s">
        <v>190</v>
      </c>
      <c r="D71" s="49"/>
      <c r="E71" s="50"/>
      <c r="F71" s="49"/>
      <c r="G71" s="49"/>
      <c r="H71" s="49"/>
      <c r="I71" s="49"/>
      <c r="J71" s="49"/>
      <c r="K71" s="50"/>
    </row>
  </sheetData>
  <sheetProtection/>
  <mergeCells count="38">
    <mergeCell ref="J4:L4"/>
    <mergeCell ref="J5:K5"/>
    <mergeCell ref="J14:K14"/>
    <mergeCell ref="J21:K21"/>
    <mergeCell ref="G4:I4"/>
    <mergeCell ref="G5:H5"/>
    <mergeCell ref="G14:H14"/>
    <mergeCell ref="A5:B5"/>
    <mergeCell ref="D5:E5"/>
    <mergeCell ref="A21:B21"/>
    <mergeCell ref="A14:B14"/>
    <mergeCell ref="A4:C4"/>
    <mergeCell ref="A23:B23"/>
    <mergeCell ref="D4:F4"/>
    <mergeCell ref="G21:H21"/>
    <mergeCell ref="D14:E14"/>
    <mergeCell ref="D21:E21"/>
    <mergeCell ref="J31:L35"/>
    <mergeCell ref="G27:H27"/>
    <mergeCell ref="D27:E27"/>
    <mergeCell ref="D31:F33"/>
    <mergeCell ref="G25:H25"/>
    <mergeCell ref="M23:N23"/>
    <mergeCell ref="M25:N25"/>
    <mergeCell ref="M27:N27"/>
    <mergeCell ref="J23:K23"/>
    <mergeCell ref="J25:K25"/>
    <mergeCell ref="J27:K27"/>
    <mergeCell ref="A31:C33"/>
    <mergeCell ref="A27:B27"/>
    <mergeCell ref="M4:O4"/>
    <mergeCell ref="M5:N5"/>
    <mergeCell ref="M14:N14"/>
    <mergeCell ref="M21:N21"/>
    <mergeCell ref="A25:B25"/>
    <mergeCell ref="D23:E23"/>
    <mergeCell ref="D25:E25"/>
    <mergeCell ref="G23:H23"/>
  </mergeCells>
  <printOptions/>
  <pageMargins left="0.787401575" right="0.5" top="0.984251969" bottom="0.984251969" header="0.5" footer="0.5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SheetLayoutView="100" zoomScalePageLayoutView="0" workbookViewId="0" topLeftCell="A1">
      <selection activeCell="C15" sqref="C15"/>
    </sheetView>
  </sheetViews>
  <sheetFormatPr defaultColWidth="8.8515625" defaultRowHeight="12.75"/>
  <cols>
    <col min="1" max="1" width="11.421875" style="0" customWidth="1"/>
    <col min="2" max="2" width="8.8515625" style="0" customWidth="1"/>
    <col min="3" max="3" width="9.7109375" style="0" customWidth="1"/>
    <col min="4" max="4" width="11.00390625" style="0" customWidth="1"/>
    <col min="5" max="10" width="8.8515625" style="0" customWidth="1"/>
    <col min="11" max="11" width="8.7109375" style="0" customWidth="1"/>
    <col min="12" max="14" width="8.8515625" style="0" customWidth="1"/>
    <col min="15" max="15" width="10.140625" style="0" customWidth="1"/>
    <col min="16" max="16" width="8.8515625" style="0" customWidth="1"/>
    <col min="17" max="17" width="11.140625" style="0" customWidth="1"/>
    <col min="18" max="20" width="8.8515625" style="0" customWidth="1"/>
    <col min="21" max="21" width="10.421875" style="0" customWidth="1"/>
    <col min="22" max="24" width="8.8515625" style="0" customWidth="1"/>
    <col min="25" max="25" width="9.8515625" style="0" customWidth="1"/>
  </cols>
  <sheetData>
    <row r="1" ht="12.75">
      <c r="A1" s="115" t="s">
        <v>33</v>
      </c>
    </row>
    <row r="5" ht="13.5" thickBot="1"/>
    <row r="6" spans="2:12" ht="13.5" thickBot="1">
      <c r="B6" s="66" t="s">
        <v>289</v>
      </c>
      <c r="C6" s="49"/>
      <c r="D6" s="49"/>
      <c r="E6" s="50"/>
      <c r="H6" s="66" t="s">
        <v>257</v>
      </c>
      <c r="I6" s="49"/>
      <c r="J6" s="49"/>
      <c r="K6" s="49"/>
      <c r="L6" s="50"/>
    </row>
    <row r="7" spans="3:9" ht="12.75">
      <c r="C7" s="22" t="s">
        <v>125</v>
      </c>
      <c r="I7" s="22" t="s">
        <v>310</v>
      </c>
    </row>
    <row r="9" spans="2:10" ht="15.75">
      <c r="B9" s="23" t="s">
        <v>126</v>
      </c>
      <c r="D9" s="23"/>
      <c r="H9" s="23" t="s">
        <v>126</v>
      </c>
      <c r="J9" s="23"/>
    </row>
    <row r="10" spans="2:10" ht="15.75">
      <c r="B10" s="23" t="s">
        <v>68</v>
      </c>
      <c r="D10" s="23"/>
      <c r="H10" s="23" t="s">
        <v>68</v>
      </c>
      <c r="J10" s="23"/>
    </row>
    <row r="12" spans="2:9" ht="12.75">
      <c r="B12" s="24" t="s">
        <v>69</v>
      </c>
      <c r="C12" s="24">
        <v>0.104</v>
      </c>
      <c r="H12" s="24" t="s">
        <v>69</v>
      </c>
      <c r="I12" s="24">
        <v>0.131</v>
      </c>
    </row>
    <row r="13" spans="2:9" ht="12.75">
      <c r="B13" s="24" t="s">
        <v>70</v>
      </c>
      <c r="C13">
        <v>0.681</v>
      </c>
      <c r="H13" s="24" t="s">
        <v>70</v>
      </c>
      <c r="I13">
        <v>0.674</v>
      </c>
    </row>
    <row r="14" spans="2:10" ht="14.25">
      <c r="B14" s="24" t="s">
        <v>71</v>
      </c>
      <c r="C14">
        <v>0.59</v>
      </c>
      <c r="D14" t="s">
        <v>72</v>
      </c>
      <c r="H14" s="24" t="s">
        <v>71</v>
      </c>
      <c r="I14">
        <v>0.59</v>
      </c>
      <c r="J14" t="s">
        <v>72</v>
      </c>
    </row>
    <row r="15" spans="2:10" ht="14.25">
      <c r="B15" s="24" t="s">
        <v>73</v>
      </c>
      <c r="C15">
        <v>0.115033</v>
      </c>
      <c r="D15" t="s">
        <v>113</v>
      </c>
      <c r="H15" s="24" t="s">
        <v>73</v>
      </c>
      <c r="I15">
        <v>0.115033</v>
      </c>
      <c r="J15" t="s">
        <v>113</v>
      </c>
    </row>
    <row r="16" spans="2:10" ht="14.25">
      <c r="B16" s="24" t="s">
        <v>73</v>
      </c>
      <c r="C16">
        <f>$C$15*2.20462262185</f>
        <v>0.25360435405927106</v>
      </c>
      <c r="D16" t="s">
        <v>74</v>
      </c>
      <c r="H16" s="24" t="s">
        <v>73</v>
      </c>
      <c r="I16">
        <f>$I$15*2.20462262185</f>
        <v>0.25360435405927106</v>
      </c>
      <c r="J16" t="s">
        <v>74</v>
      </c>
    </row>
    <row r="19" spans="2:10" ht="16.5" thickBot="1">
      <c r="B19" s="22" t="s">
        <v>252</v>
      </c>
      <c r="C19">
        <f>C16/(PI()*C14^2)</f>
        <v>0.23190110047779472</v>
      </c>
      <c r="D19" t="s">
        <v>253</v>
      </c>
      <c r="H19" s="22" t="s">
        <v>252</v>
      </c>
      <c r="I19">
        <f>I16/(PI()*I14^2)</f>
        <v>0.23190110047779472</v>
      </c>
      <c r="J19" t="s">
        <v>253</v>
      </c>
    </row>
    <row r="20" spans="2:10" ht="14.25">
      <c r="B20" s="67" t="s">
        <v>254</v>
      </c>
      <c r="C20" s="68">
        <f>C12*(C19)^C13</f>
        <v>0.03844187415181438</v>
      </c>
      <c r="D20" s="69" t="s">
        <v>255</v>
      </c>
      <c r="H20" s="67" t="s">
        <v>254</v>
      </c>
      <c r="I20" s="68">
        <f>I12*(I19)^I13</f>
        <v>0.04891988070526428</v>
      </c>
      <c r="J20" s="69" t="s">
        <v>255</v>
      </c>
    </row>
    <row r="21" spans="2:10" ht="15" thickBot="1">
      <c r="B21" s="70" t="s">
        <v>254</v>
      </c>
      <c r="C21" s="44">
        <f>C20*25.4</f>
        <v>0.9764236034560853</v>
      </c>
      <c r="D21" s="45" t="s">
        <v>256</v>
      </c>
      <c r="H21" s="70" t="s">
        <v>254</v>
      </c>
      <c r="I21" s="44">
        <f>I20*25.4</f>
        <v>1.2425649699137127</v>
      </c>
      <c r="J21" s="45" t="s">
        <v>256</v>
      </c>
    </row>
    <row r="37" ht="13.5" thickBot="1"/>
    <row r="38" spans="2:4" ht="13.5" thickBot="1">
      <c r="B38" s="191" t="s">
        <v>138</v>
      </c>
      <c r="C38" s="192"/>
      <c r="D38" s="193"/>
    </row>
    <row r="39" ht="12.75">
      <c r="C39" s="22" t="s">
        <v>310</v>
      </c>
    </row>
    <row r="41" spans="2:4" ht="15.75">
      <c r="B41" s="23" t="s">
        <v>172</v>
      </c>
      <c r="D41" s="23"/>
    </row>
    <row r="42" spans="2:4" ht="12.75">
      <c r="B42" s="190"/>
      <c r="C42" s="190"/>
      <c r="D42" s="23"/>
    </row>
    <row r="43" spans="2:4" ht="14.25">
      <c r="B43" s="24" t="s">
        <v>71</v>
      </c>
      <c r="C43">
        <v>0.59</v>
      </c>
      <c r="D43" t="s">
        <v>72</v>
      </c>
    </row>
    <row r="44" spans="2:4" ht="14.25">
      <c r="B44" s="24" t="s">
        <v>71</v>
      </c>
      <c r="C44">
        <f>C43*0.0254</f>
        <v>0.014986</v>
      </c>
      <c r="D44" t="s">
        <v>173</v>
      </c>
    </row>
    <row r="45" spans="2:4" ht="15">
      <c r="B45" s="24" t="s">
        <v>174</v>
      </c>
      <c r="C45">
        <v>930</v>
      </c>
      <c r="D45" t="s">
        <v>166</v>
      </c>
    </row>
    <row r="46" ht="12.75">
      <c r="B46" s="24"/>
    </row>
    <row r="48" spans="2:4" ht="14.25">
      <c r="B48" s="22" t="s">
        <v>306</v>
      </c>
      <c r="C48">
        <v>1.2942819016354512</v>
      </c>
      <c r="D48" t="s">
        <v>256</v>
      </c>
    </row>
    <row r="55" ht="13.5" thickBot="1"/>
    <row r="56" spans="2:4" ht="13.5" thickBot="1">
      <c r="B56" s="191" t="s">
        <v>96</v>
      </c>
      <c r="C56" s="192"/>
      <c r="D56" s="193"/>
    </row>
    <row r="57" spans="2:4" ht="12.75">
      <c r="B57" s="21"/>
      <c r="C57" s="22" t="s">
        <v>267</v>
      </c>
      <c r="D57" s="21"/>
    </row>
    <row r="59" spans="2:6" ht="15.75">
      <c r="B59" s="23" t="s">
        <v>42</v>
      </c>
      <c r="F59" t="s">
        <v>43</v>
      </c>
    </row>
    <row r="60" spans="2:6" ht="15.75">
      <c r="B60" s="23" t="s">
        <v>44</v>
      </c>
      <c r="E60" t="s">
        <v>45</v>
      </c>
      <c r="F60" t="s">
        <v>274</v>
      </c>
    </row>
    <row r="62" spans="2:3" ht="12.75">
      <c r="B62" s="24" t="s">
        <v>69</v>
      </c>
      <c r="C62" s="24">
        <v>0.104</v>
      </c>
    </row>
    <row r="63" spans="2:3" ht="12.75">
      <c r="B63" s="24" t="s">
        <v>70</v>
      </c>
      <c r="C63">
        <v>0.681</v>
      </c>
    </row>
  </sheetData>
  <sheetProtection/>
  <mergeCells count="3">
    <mergeCell ref="B42:C42"/>
    <mergeCell ref="B38:D38"/>
    <mergeCell ref="B56:D56"/>
  </mergeCells>
  <printOptions/>
  <pageMargins left="0.787401575" right="0.5" top="0.984251969" bottom="0.984251969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58"/>
  <sheetViews>
    <sheetView zoomScalePageLayoutView="0" workbookViewId="0" topLeftCell="A1">
      <selection activeCell="I17" sqref="I17"/>
    </sheetView>
  </sheetViews>
  <sheetFormatPr defaultColWidth="8.8515625" defaultRowHeight="12.75"/>
  <cols>
    <col min="1" max="2" width="8.8515625" style="0" customWidth="1"/>
    <col min="3" max="3" width="10.140625" style="0" customWidth="1"/>
    <col min="4" max="4" width="8.8515625" style="0" customWidth="1"/>
    <col min="5" max="5" width="11.140625" style="0" customWidth="1"/>
    <col min="6" max="8" width="8.8515625" style="0" customWidth="1"/>
    <col min="9" max="9" width="10.421875" style="0" customWidth="1"/>
    <col min="10" max="12" width="8.8515625" style="0" customWidth="1"/>
    <col min="13" max="13" width="9.8515625" style="0" customWidth="1"/>
  </cols>
  <sheetData>
    <row r="2" spans="5:12" ht="12.75">
      <c r="E2" s="26" t="s">
        <v>46</v>
      </c>
      <c r="F2" s="26">
        <v>1.18</v>
      </c>
      <c r="G2" s="26">
        <f>1.18*0.0254</f>
        <v>0.029972</v>
      </c>
      <c r="H2" s="26" t="s">
        <v>47</v>
      </c>
      <c r="J2" t="s">
        <v>220</v>
      </c>
      <c r="K2">
        <v>930</v>
      </c>
      <c r="L2" t="s">
        <v>251</v>
      </c>
    </row>
    <row r="3" spans="5:12" ht="12.75">
      <c r="E3" s="26" t="s">
        <v>221</v>
      </c>
      <c r="F3" s="26">
        <f>1.18/2</f>
        <v>0.59</v>
      </c>
      <c r="G3" s="26">
        <f>0.59*0.0254</f>
        <v>0.014986</v>
      </c>
      <c r="H3" s="26" t="s">
        <v>47</v>
      </c>
      <c r="J3" t="s">
        <v>34</v>
      </c>
      <c r="K3">
        <f>18*0.0254</f>
        <v>0.4572</v>
      </c>
      <c r="L3" t="s">
        <v>173</v>
      </c>
    </row>
    <row r="4" spans="10:12" ht="12.75">
      <c r="J4" t="s">
        <v>35</v>
      </c>
      <c r="K4">
        <f>11*0.0254</f>
        <v>0.2794</v>
      </c>
      <c r="L4" t="s">
        <v>173</v>
      </c>
    </row>
    <row r="6" spans="6:9" ht="13.5" thickBot="1">
      <c r="F6" s="5"/>
      <c r="G6" s="194"/>
      <c r="H6" s="194"/>
      <c r="I6" s="194"/>
    </row>
    <row r="7" spans="1:12" ht="48" customHeight="1">
      <c r="A7" s="195" t="s">
        <v>222</v>
      </c>
      <c r="B7" s="196"/>
      <c r="C7" s="72" t="s">
        <v>223</v>
      </c>
      <c r="D7" s="73" t="s">
        <v>224</v>
      </c>
      <c r="E7" s="73" t="s">
        <v>225</v>
      </c>
      <c r="F7" s="73" t="s">
        <v>226</v>
      </c>
      <c r="G7" s="73" t="s">
        <v>227</v>
      </c>
      <c r="H7" s="73" t="s">
        <v>51</v>
      </c>
      <c r="I7" s="96" t="s">
        <v>52</v>
      </c>
      <c r="J7" s="73" t="s">
        <v>237</v>
      </c>
      <c r="K7" s="96" t="s">
        <v>123</v>
      </c>
      <c r="L7" s="73" t="s">
        <v>124</v>
      </c>
    </row>
    <row r="8" spans="1:13" ht="12" customHeight="1">
      <c r="A8" s="197"/>
      <c r="B8" s="198"/>
      <c r="C8" s="74" t="s">
        <v>53</v>
      </c>
      <c r="D8" s="27" t="s">
        <v>54</v>
      </c>
      <c r="E8" s="27">
        <v>35.58</v>
      </c>
      <c r="F8" s="27">
        <v>500</v>
      </c>
      <c r="G8" s="27">
        <v>433.6</v>
      </c>
      <c r="H8" s="27">
        <v>289.06</v>
      </c>
      <c r="I8" s="97">
        <v>238.28</v>
      </c>
      <c r="J8" s="27">
        <f aca="true" t="shared" si="0" ref="J8:J15">E8*4.44822161526</f>
        <v>158.26772507095077</v>
      </c>
      <c r="K8" s="97">
        <v>304.0694</v>
      </c>
      <c r="L8" s="27">
        <f aca="true" t="shared" si="1" ref="L8:L15">H8-I8</f>
        <v>50.78</v>
      </c>
      <c r="M8" s="75"/>
    </row>
    <row r="9" spans="1:12" ht="12.75" customHeight="1">
      <c r="A9" s="197"/>
      <c r="B9" s="198"/>
      <c r="C9" s="74" t="s">
        <v>55</v>
      </c>
      <c r="D9" s="27" t="s">
        <v>56</v>
      </c>
      <c r="E9" s="27">
        <v>56.23</v>
      </c>
      <c r="F9" s="27">
        <v>507.8</v>
      </c>
      <c r="G9" s="27">
        <v>410.16</v>
      </c>
      <c r="H9" s="27">
        <v>335.94</v>
      </c>
      <c r="I9" s="97">
        <v>230.48</v>
      </c>
      <c r="J9" s="27">
        <f t="shared" si="0"/>
        <v>250.12350142606977</v>
      </c>
      <c r="K9" s="97">
        <v>385.6335</v>
      </c>
      <c r="L9" s="27">
        <f t="shared" si="1"/>
        <v>105.46000000000001</v>
      </c>
    </row>
    <row r="10" spans="1:12" ht="12" customHeight="1">
      <c r="A10" s="197"/>
      <c r="B10" s="198"/>
      <c r="C10" s="74" t="s">
        <v>55</v>
      </c>
      <c r="D10" s="27" t="s">
        <v>54</v>
      </c>
      <c r="E10" s="27">
        <v>45.7463</v>
      </c>
      <c r="F10" s="27">
        <v>527</v>
      </c>
      <c r="G10" s="27">
        <v>417.98</v>
      </c>
      <c r="H10" s="27">
        <v>339.84</v>
      </c>
      <c r="I10" s="97">
        <v>246.1</v>
      </c>
      <c r="J10" s="27">
        <f t="shared" si="0"/>
        <v>203.4896804781685</v>
      </c>
      <c r="K10" s="97">
        <v>377.2375</v>
      </c>
      <c r="L10" s="27">
        <f t="shared" si="1"/>
        <v>93.73999999999998</v>
      </c>
    </row>
    <row r="11" spans="1:12" ht="12.75">
      <c r="A11" s="197"/>
      <c r="B11" s="198"/>
      <c r="C11" s="74" t="s">
        <v>57</v>
      </c>
      <c r="D11" s="27" t="s">
        <v>56</v>
      </c>
      <c r="E11" s="27">
        <v>46.53</v>
      </c>
      <c r="F11" s="27">
        <v>500</v>
      </c>
      <c r="G11" s="27">
        <v>414.06</v>
      </c>
      <c r="H11" s="27">
        <v>343.76</v>
      </c>
      <c r="I11" s="97">
        <v>265.62</v>
      </c>
      <c r="J11" s="27">
        <f t="shared" si="0"/>
        <v>206.97575175804778</v>
      </c>
      <c r="K11" s="97">
        <v>350.5496</v>
      </c>
      <c r="L11" s="27">
        <f t="shared" si="1"/>
        <v>78.13999999999999</v>
      </c>
    </row>
    <row r="12" spans="1:12" ht="12.75">
      <c r="A12" s="197"/>
      <c r="B12" s="198"/>
      <c r="C12" s="74" t="s">
        <v>57</v>
      </c>
      <c r="D12" s="27" t="s">
        <v>54</v>
      </c>
      <c r="E12" s="27">
        <v>56.23</v>
      </c>
      <c r="F12" s="27">
        <v>527.34</v>
      </c>
      <c r="G12" s="27">
        <v>414.06</v>
      </c>
      <c r="H12" s="27">
        <v>332.04</v>
      </c>
      <c r="I12" s="97">
        <v>246.1</v>
      </c>
      <c r="J12" s="27">
        <f t="shared" si="0"/>
        <v>250.12350142606977</v>
      </c>
      <c r="K12" s="97">
        <v>314.0116</v>
      </c>
      <c r="L12" s="27">
        <f t="shared" si="1"/>
        <v>85.94000000000003</v>
      </c>
    </row>
    <row r="13" spans="1:12" ht="12" customHeight="1">
      <c r="A13" s="197"/>
      <c r="B13" s="198"/>
      <c r="C13" s="74" t="s">
        <v>58</v>
      </c>
      <c r="D13" s="27" t="s">
        <v>56</v>
      </c>
      <c r="E13" s="27">
        <v>74.98</v>
      </c>
      <c r="F13" s="27">
        <v>582.04</v>
      </c>
      <c r="G13" s="27">
        <v>453.12</v>
      </c>
      <c r="H13" s="27">
        <v>363.28</v>
      </c>
      <c r="I13" s="97">
        <v>281.256</v>
      </c>
      <c r="J13" s="27">
        <f t="shared" si="0"/>
        <v>333.5276567121948</v>
      </c>
      <c r="K13" s="97">
        <v>392.6766</v>
      </c>
      <c r="L13" s="27">
        <f t="shared" si="1"/>
        <v>82.024</v>
      </c>
    </row>
    <row r="14" spans="1:12" ht="12.75">
      <c r="A14" s="197"/>
      <c r="B14" s="198"/>
      <c r="C14" s="74" t="s">
        <v>58</v>
      </c>
      <c r="D14" s="27" t="s">
        <v>54</v>
      </c>
      <c r="E14" s="27">
        <v>63.81</v>
      </c>
      <c r="F14" s="27">
        <v>578.12</v>
      </c>
      <c r="G14" s="27">
        <v>441.42</v>
      </c>
      <c r="H14" s="27">
        <v>335.94</v>
      </c>
      <c r="I14" s="97">
        <v>257.82</v>
      </c>
      <c r="J14" s="27">
        <f t="shared" si="0"/>
        <v>283.84102126974057</v>
      </c>
      <c r="K14" s="97">
        <v>502.4085</v>
      </c>
      <c r="L14" s="27">
        <f t="shared" si="1"/>
        <v>78.12</v>
      </c>
    </row>
    <row r="15" spans="1:12" ht="13.5" thickBot="1">
      <c r="A15" s="199"/>
      <c r="B15" s="200"/>
      <c r="C15" s="74" t="s">
        <v>59</v>
      </c>
      <c r="D15" s="27" t="s">
        <v>56</v>
      </c>
      <c r="E15" s="27">
        <v>68.73</v>
      </c>
      <c r="F15" s="27">
        <v>546.88</v>
      </c>
      <c r="G15" s="27">
        <v>417.98</v>
      </c>
      <c r="H15" s="27">
        <v>324.22</v>
      </c>
      <c r="I15" s="97">
        <v>257.82</v>
      </c>
      <c r="J15" s="27">
        <f t="shared" si="0"/>
        <v>305.7262716168198</v>
      </c>
      <c r="K15" s="97">
        <v>336.1801</v>
      </c>
      <c r="L15" s="27">
        <f t="shared" si="1"/>
        <v>66.40000000000003</v>
      </c>
    </row>
    <row r="16" spans="2:12" ht="15.75" customHeight="1">
      <c r="B16" s="119" t="s">
        <v>263</v>
      </c>
      <c r="C16" s="119"/>
      <c r="D16" s="119"/>
      <c r="E16" s="119"/>
      <c r="F16" s="119"/>
      <c r="G16" s="119"/>
      <c r="H16" s="119">
        <f>SUM(H8:H15)/8</f>
        <v>333.01</v>
      </c>
      <c r="I16" s="119">
        <f>SUM(I8:I15)/8</f>
        <v>252.93449999999996</v>
      </c>
      <c r="J16" s="119"/>
      <c r="K16" s="120">
        <f>SUM(K8:K15)/8</f>
        <v>370.34585000000004</v>
      </c>
      <c r="L16" s="121">
        <f>SUM(L8:L15)/8</f>
        <v>80.0755</v>
      </c>
    </row>
    <row r="17" spans="2:10" ht="13.5" thickBot="1">
      <c r="B17" s="76"/>
      <c r="C17" s="76"/>
      <c r="D17" s="76"/>
      <c r="E17" s="76"/>
      <c r="F17" s="76"/>
      <c r="G17" s="76"/>
      <c r="H17" s="76"/>
      <c r="I17" s="76"/>
      <c r="J17" s="76"/>
    </row>
    <row r="18" spans="1:12" ht="36" customHeight="1">
      <c r="A18" s="195" t="s">
        <v>222</v>
      </c>
      <c r="B18" s="196"/>
      <c r="C18" s="72" t="s">
        <v>223</v>
      </c>
      <c r="D18" s="73" t="s">
        <v>224</v>
      </c>
      <c r="E18" s="73" t="s">
        <v>225</v>
      </c>
      <c r="F18" s="73" t="s">
        <v>231</v>
      </c>
      <c r="G18" s="73" t="s">
        <v>232</v>
      </c>
      <c r="H18" s="73" t="s">
        <v>233</v>
      </c>
      <c r="I18" s="73" t="s">
        <v>234</v>
      </c>
      <c r="J18" s="79" t="s">
        <v>235</v>
      </c>
      <c r="K18" s="73" t="s">
        <v>236</v>
      </c>
      <c r="L18" s="73" t="s">
        <v>237</v>
      </c>
    </row>
    <row r="19" spans="1:12" ht="12.75">
      <c r="A19" s="197"/>
      <c r="B19" s="198"/>
      <c r="C19" s="74" t="s">
        <v>53</v>
      </c>
      <c r="D19" s="27" t="s">
        <v>54</v>
      </c>
      <c r="E19" s="27">
        <v>35.58</v>
      </c>
      <c r="F19" s="27">
        <v>10</v>
      </c>
      <c r="G19" s="27">
        <v>0.20899999999999985</v>
      </c>
      <c r="H19" s="27">
        <v>0.9551865818181818</v>
      </c>
      <c r="I19" s="27">
        <v>4.5702707264027875</v>
      </c>
      <c r="J19" s="80">
        <f aca="true" t="shared" si="2" ref="J19:J26">L19/(9.81*K19)</f>
        <v>0.11641865805776305</v>
      </c>
      <c r="K19" s="27">
        <v>138.58006591985662</v>
      </c>
      <c r="L19" s="26">
        <f aca="true" t="shared" si="3" ref="L19:L26">E19*4.44822161526</f>
        <v>158.26772507095077</v>
      </c>
    </row>
    <row r="20" spans="1:12" ht="12" customHeight="1">
      <c r="A20" s="197"/>
      <c r="B20" s="198"/>
      <c r="C20" s="74" t="s">
        <v>55</v>
      </c>
      <c r="D20" s="27" t="s">
        <v>56</v>
      </c>
      <c r="E20" s="27">
        <v>56.23</v>
      </c>
      <c r="F20" s="27">
        <v>9</v>
      </c>
      <c r="G20" s="27">
        <v>0.31</v>
      </c>
      <c r="H20" s="27">
        <v>1.018822945454545</v>
      </c>
      <c r="I20" s="27">
        <v>3.2865256304985317</v>
      </c>
      <c r="J20" s="80">
        <f t="shared" si="2"/>
        <v>0.14764699378206209</v>
      </c>
      <c r="K20" s="27">
        <v>172.6874925325593</v>
      </c>
      <c r="L20" s="26">
        <f t="shared" si="3"/>
        <v>250.12350142606977</v>
      </c>
    </row>
    <row r="21" spans="1:12" ht="12" customHeight="1">
      <c r="A21" s="197"/>
      <c r="B21" s="198"/>
      <c r="C21" s="74" t="s">
        <v>55</v>
      </c>
      <c r="D21" s="27" t="s">
        <v>54</v>
      </c>
      <c r="E21" s="27">
        <v>45.7463</v>
      </c>
      <c r="F21" s="27">
        <v>8</v>
      </c>
      <c r="G21" s="27">
        <v>0.17299999999999982</v>
      </c>
      <c r="H21" s="27">
        <v>0.9824593090909086</v>
      </c>
      <c r="I21" s="27">
        <v>5.67895554387809</v>
      </c>
      <c r="J21" s="80">
        <f t="shared" si="2"/>
        <v>0.14443241348245717</v>
      </c>
      <c r="K21" s="27">
        <v>143.61794693364823</v>
      </c>
      <c r="L21" s="26">
        <f t="shared" si="3"/>
        <v>203.4896804781685</v>
      </c>
    </row>
    <row r="22" spans="1:12" ht="12" customHeight="1">
      <c r="A22" s="197"/>
      <c r="B22" s="198"/>
      <c r="C22" s="74" t="s">
        <v>57</v>
      </c>
      <c r="D22" s="27" t="s">
        <v>56</v>
      </c>
      <c r="E22" s="27">
        <v>46.53</v>
      </c>
      <c r="F22" s="27">
        <v>8.5</v>
      </c>
      <c r="G22" s="27">
        <v>0.2719999999999999</v>
      </c>
      <c r="H22" s="27">
        <v>0.8688229454545449</v>
      </c>
      <c r="I22" s="27">
        <v>3.1942020053475924</v>
      </c>
      <c r="J22" s="80">
        <f t="shared" si="2"/>
        <v>0.1342144640281047</v>
      </c>
      <c r="K22" s="27">
        <v>157.19949258676138</v>
      </c>
      <c r="L22" s="26">
        <f t="shared" si="3"/>
        <v>206.97575175804778</v>
      </c>
    </row>
    <row r="23" spans="1:12" ht="13.5" customHeight="1">
      <c r="A23" s="197"/>
      <c r="B23" s="198"/>
      <c r="C23" s="74" t="s">
        <v>57</v>
      </c>
      <c r="D23" s="27" t="s">
        <v>54</v>
      </c>
      <c r="E23" s="27">
        <v>56.23</v>
      </c>
      <c r="F23" s="27">
        <v>10.5</v>
      </c>
      <c r="G23" s="27">
        <v>0.202</v>
      </c>
      <c r="H23" s="27">
        <v>1.0603647363636357</v>
      </c>
      <c r="I23" s="27">
        <v>5.2493303780378</v>
      </c>
      <c r="J23" s="80">
        <f t="shared" si="2"/>
        <v>0.12022521285890159</v>
      </c>
      <c r="K23" s="27">
        <v>212.07522556951636</v>
      </c>
      <c r="L23" s="26">
        <f t="shared" si="3"/>
        <v>250.12350142606977</v>
      </c>
    </row>
    <row r="24" spans="1:12" ht="12.75" customHeight="1">
      <c r="A24" s="197"/>
      <c r="B24" s="198"/>
      <c r="C24" s="74" t="s">
        <v>58</v>
      </c>
      <c r="D24" s="27" t="s">
        <v>56</v>
      </c>
      <c r="E24" s="27">
        <v>74.98</v>
      </c>
      <c r="F24" s="27">
        <v>9</v>
      </c>
      <c r="G24" s="27">
        <v>0.32</v>
      </c>
      <c r="H24" s="27">
        <v>1.033092009090909</v>
      </c>
      <c r="I24" s="27">
        <v>3.228412528409091</v>
      </c>
      <c r="J24" s="80">
        <f t="shared" si="2"/>
        <v>0.15034355640545133</v>
      </c>
      <c r="K24" s="27">
        <v>226.14033203432294</v>
      </c>
      <c r="L24" s="26">
        <f t="shared" si="3"/>
        <v>333.5276567121948</v>
      </c>
    </row>
    <row r="25" spans="1:12" ht="12.75" customHeight="1">
      <c r="A25" s="197"/>
      <c r="B25" s="198"/>
      <c r="C25" s="74" t="s">
        <v>58</v>
      </c>
      <c r="D25" s="27" t="s">
        <v>54</v>
      </c>
      <c r="E25" s="27">
        <v>63.81</v>
      </c>
      <c r="F25" s="27">
        <v>12.5</v>
      </c>
      <c r="G25" s="27">
        <v>0.235</v>
      </c>
      <c r="H25" s="27">
        <v>2.1694556454545455</v>
      </c>
      <c r="I25" s="27">
        <v>9.23172615087041</v>
      </c>
      <c r="J25" s="80">
        <f t="shared" si="2"/>
        <v>0.19235645143138966</v>
      </c>
      <c r="K25" s="27">
        <v>150.4178569015594</v>
      </c>
      <c r="L25" s="26">
        <f t="shared" si="3"/>
        <v>283.84102126974057</v>
      </c>
    </row>
    <row r="26" spans="1:12" ht="12.75" customHeight="1" thickBot="1">
      <c r="A26" s="199"/>
      <c r="B26" s="200"/>
      <c r="C26" s="74" t="s">
        <v>59</v>
      </c>
      <c r="D26" s="27" t="s">
        <v>56</v>
      </c>
      <c r="E26" s="27">
        <v>68.73</v>
      </c>
      <c r="F26" s="27">
        <v>12.5</v>
      </c>
      <c r="G26" s="27">
        <v>0.3939999999999999</v>
      </c>
      <c r="H26" s="27">
        <v>1.2149101909090918</v>
      </c>
      <c r="I26" s="27">
        <v>3.083528403322569</v>
      </c>
      <c r="J26" s="80">
        <f t="shared" si="2"/>
        <v>0.1287128151355717</v>
      </c>
      <c r="K26" s="27">
        <v>242.12629894238503</v>
      </c>
      <c r="L26" s="26">
        <f t="shared" si="3"/>
        <v>305.7262716168198</v>
      </c>
    </row>
    <row r="27" spans="2:12" ht="13.5" customHeight="1">
      <c r="B27" s="119" t="s">
        <v>263</v>
      </c>
      <c r="C27" s="119"/>
      <c r="D27" s="119"/>
      <c r="E27" s="119"/>
      <c r="F27" s="119">
        <f>SUM(F19:F26)/8</f>
        <v>10</v>
      </c>
      <c r="G27" s="119"/>
      <c r="H27" s="119"/>
      <c r="I27" s="119"/>
      <c r="J27" s="119"/>
      <c r="K27" s="120"/>
      <c r="L27" s="120">
        <f>SUM(L19:L26)/8</f>
        <v>249.0093887197577</v>
      </c>
    </row>
    <row r="29" spans="2:10" ht="13.5" thickBot="1">
      <c r="B29" s="76"/>
      <c r="C29" s="76"/>
      <c r="D29" s="76"/>
      <c r="E29" s="76"/>
      <c r="F29" s="76"/>
      <c r="G29" s="76"/>
      <c r="H29" s="76"/>
      <c r="I29" s="76"/>
      <c r="J29" s="76"/>
    </row>
    <row r="30" spans="1:14" ht="48" customHeight="1">
      <c r="A30" s="195" t="s">
        <v>222</v>
      </c>
      <c r="B30" s="196"/>
      <c r="C30" s="72" t="s">
        <v>223</v>
      </c>
      <c r="D30" s="73" t="s">
        <v>224</v>
      </c>
      <c r="E30" s="73" t="s">
        <v>225</v>
      </c>
      <c r="F30" s="73" t="s">
        <v>240</v>
      </c>
      <c r="G30" s="72" t="s">
        <v>241</v>
      </c>
      <c r="H30" s="73" t="s">
        <v>66</v>
      </c>
      <c r="I30" s="73" t="s">
        <v>272</v>
      </c>
      <c r="J30" s="73" t="s">
        <v>273</v>
      </c>
      <c r="K30" s="73" t="s">
        <v>28</v>
      </c>
      <c r="L30" s="118" t="s">
        <v>175</v>
      </c>
      <c r="M30" s="118" t="s">
        <v>36</v>
      </c>
      <c r="N30" s="118" t="s">
        <v>262</v>
      </c>
    </row>
    <row r="31" spans="1:14" ht="12.75">
      <c r="A31" s="197"/>
      <c r="B31" s="198"/>
      <c r="C31" s="74" t="s">
        <v>53</v>
      </c>
      <c r="D31" s="27" t="s">
        <v>54</v>
      </c>
      <c r="E31" s="27">
        <v>35.58</v>
      </c>
      <c r="F31" s="27">
        <f aca="true" t="shared" si="4" ref="F31:F38">G19/F19</f>
        <v>0.020899999999999985</v>
      </c>
      <c r="G31" s="27">
        <f aca="true" t="shared" si="5" ref="G31:G38">H19/F19</f>
        <v>0.09551865818181818</v>
      </c>
      <c r="H31" s="27"/>
      <c r="I31" s="27"/>
      <c r="J31" s="74"/>
      <c r="K31" s="27"/>
      <c r="L31" s="26">
        <f aca="true" t="shared" si="6" ref="L31:L38">(SQRT((G19/($K$2*PI()*$K$4))+$G$3^2)-$G$3)/F19</f>
        <v>0.00069367726312775</v>
      </c>
      <c r="M31" s="26">
        <f>L31*1000</f>
        <v>0.69367726312775</v>
      </c>
      <c r="N31" s="26">
        <f>L31/0.0254</f>
        <v>0.02731012846959646</v>
      </c>
    </row>
    <row r="32" spans="1:14" ht="12" customHeight="1">
      <c r="A32" s="197"/>
      <c r="B32" s="198"/>
      <c r="C32" s="74" t="s">
        <v>55</v>
      </c>
      <c r="D32" s="27" t="s">
        <v>56</v>
      </c>
      <c r="E32" s="27">
        <v>56.23</v>
      </c>
      <c r="F32" s="27">
        <f t="shared" si="4"/>
        <v>0.034444444444444444</v>
      </c>
      <c r="G32" s="27">
        <f t="shared" si="5"/>
        <v>0.11320254949494944</v>
      </c>
      <c r="H32" s="27"/>
      <c r="I32" s="27"/>
      <c r="J32" s="74"/>
      <c r="K32" s="27"/>
      <c r="L32" s="26">
        <f t="shared" si="6"/>
        <v>0.0010663568510189706</v>
      </c>
      <c r="M32" s="26">
        <f aca="true" t="shared" si="7" ref="M32:M38">L32*1000</f>
        <v>1.0663568510189707</v>
      </c>
      <c r="N32" s="26">
        <f aca="true" t="shared" si="8" ref="N32:N38">L32/0.0254</f>
        <v>0.04198255318972326</v>
      </c>
    </row>
    <row r="33" spans="1:14" ht="12" customHeight="1">
      <c r="A33" s="197"/>
      <c r="B33" s="198"/>
      <c r="C33" s="74" t="s">
        <v>55</v>
      </c>
      <c r="D33" s="27" t="s">
        <v>54</v>
      </c>
      <c r="E33" s="27">
        <v>45.7463</v>
      </c>
      <c r="F33" s="27">
        <f t="shared" si="4"/>
        <v>0.021624999999999978</v>
      </c>
      <c r="G33" s="27">
        <f t="shared" si="5"/>
        <v>0.12280741363636358</v>
      </c>
      <c r="H33" s="27"/>
      <c r="I33" s="27"/>
      <c r="J33" s="74"/>
      <c r="K33" s="27"/>
      <c r="L33" s="26">
        <f t="shared" si="6"/>
        <v>0.0007383451895288432</v>
      </c>
      <c r="M33" s="26">
        <f t="shared" si="7"/>
        <v>0.7383451895288432</v>
      </c>
      <c r="N33" s="26">
        <f t="shared" si="8"/>
        <v>0.029068708249167057</v>
      </c>
    </row>
    <row r="34" spans="1:14" ht="12" customHeight="1">
      <c r="A34" s="197"/>
      <c r="B34" s="198"/>
      <c r="C34" s="74" t="s">
        <v>57</v>
      </c>
      <c r="D34" s="27" t="s">
        <v>56</v>
      </c>
      <c r="E34" s="27">
        <v>46.53</v>
      </c>
      <c r="F34" s="27">
        <f t="shared" si="4"/>
        <v>0.03199999999999999</v>
      </c>
      <c r="G34" s="27">
        <f t="shared" si="5"/>
        <v>0.10221446417112293</v>
      </c>
      <c r="H34" s="27">
        <f>1.57/2</f>
        <v>0.785</v>
      </c>
      <c r="I34" s="27">
        <f>H34-$F$3</f>
        <v>0.19500000000000006</v>
      </c>
      <c r="J34" s="74">
        <f>I34/F22</f>
        <v>0.022941176470588243</v>
      </c>
      <c r="K34" s="27">
        <f>J34*0.0254</f>
        <v>0.0005827058823529413</v>
      </c>
      <c r="L34" s="26">
        <f t="shared" si="6"/>
        <v>0.001015464328445144</v>
      </c>
      <c r="M34" s="26">
        <f t="shared" si="7"/>
        <v>1.015464328445144</v>
      </c>
      <c r="N34" s="26">
        <f t="shared" si="8"/>
        <v>0.039978910568706456</v>
      </c>
    </row>
    <row r="35" spans="1:14" ht="12.75">
      <c r="A35" s="197"/>
      <c r="B35" s="198"/>
      <c r="C35" s="74" t="s">
        <v>57</v>
      </c>
      <c r="D35" s="27" t="s">
        <v>54</v>
      </c>
      <c r="E35" s="27">
        <v>56.23</v>
      </c>
      <c r="F35" s="27">
        <f t="shared" si="4"/>
        <v>0.019238095238095238</v>
      </c>
      <c r="G35" s="27">
        <f t="shared" si="5"/>
        <v>0.10098711774891769</v>
      </c>
      <c r="H35" s="27"/>
      <c r="I35" s="27"/>
      <c r="J35" s="74"/>
      <c r="K35" s="27"/>
      <c r="L35" s="26">
        <f t="shared" si="6"/>
        <v>0.0006419349893983959</v>
      </c>
      <c r="M35" s="26">
        <f t="shared" si="7"/>
        <v>0.6419349893983959</v>
      </c>
      <c r="N35" s="26">
        <f t="shared" si="8"/>
        <v>0.025273031078677007</v>
      </c>
    </row>
    <row r="36" spans="1:14" ht="12.75">
      <c r="A36" s="197"/>
      <c r="B36" s="198"/>
      <c r="C36" s="74" t="s">
        <v>58</v>
      </c>
      <c r="D36" s="27" t="s">
        <v>56</v>
      </c>
      <c r="E36" s="27">
        <v>74.98</v>
      </c>
      <c r="F36" s="27">
        <f t="shared" si="4"/>
        <v>0.035555555555555556</v>
      </c>
      <c r="G36" s="27">
        <f t="shared" si="5"/>
        <v>0.114788001010101</v>
      </c>
      <c r="H36" s="27">
        <f>1.6/2</f>
        <v>0.8</v>
      </c>
      <c r="I36" s="27">
        <f>H36-$F$3</f>
        <v>0.21000000000000008</v>
      </c>
      <c r="J36" s="74">
        <f>I36/F24</f>
        <v>0.02333333333333334</v>
      </c>
      <c r="K36" s="27">
        <f>J36*0.0254</f>
        <v>0.0005926666666666668</v>
      </c>
      <c r="L36" s="26">
        <f t="shared" si="6"/>
        <v>0.0010939020147461504</v>
      </c>
      <c r="M36" s="26">
        <f t="shared" si="7"/>
        <v>1.0939020147461505</v>
      </c>
      <c r="N36" s="26">
        <f t="shared" si="8"/>
        <v>0.04306700845457285</v>
      </c>
    </row>
    <row r="37" spans="1:14" ht="12" customHeight="1">
      <c r="A37" s="197"/>
      <c r="B37" s="198"/>
      <c r="C37" s="74" t="s">
        <v>58</v>
      </c>
      <c r="D37" s="27" t="s">
        <v>54</v>
      </c>
      <c r="E37" s="27">
        <v>63.81</v>
      </c>
      <c r="F37" s="27">
        <f t="shared" si="4"/>
        <v>0.018799999999999997</v>
      </c>
      <c r="G37" s="27">
        <f t="shared" si="5"/>
        <v>0.17355645163636363</v>
      </c>
      <c r="H37" s="27"/>
      <c r="I37" s="27"/>
      <c r="J37" s="74"/>
      <c r="K37" s="27"/>
      <c r="L37" s="26">
        <f t="shared" si="6"/>
        <v>0.0006121233526992892</v>
      </c>
      <c r="M37" s="26">
        <f t="shared" si="7"/>
        <v>0.6121233526992892</v>
      </c>
      <c r="N37" s="26">
        <f t="shared" si="8"/>
        <v>0.024099344594460205</v>
      </c>
    </row>
    <row r="38" spans="1:14" ht="12.75" customHeight="1" thickBot="1">
      <c r="A38" s="199"/>
      <c r="B38" s="200"/>
      <c r="C38" s="74" t="s">
        <v>59</v>
      </c>
      <c r="D38" s="27" t="s">
        <v>56</v>
      </c>
      <c r="E38" s="27">
        <v>68.73</v>
      </c>
      <c r="F38" s="27">
        <f t="shared" si="4"/>
        <v>0.03151999999999999</v>
      </c>
      <c r="G38" s="27">
        <f t="shared" si="5"/>
        <v>0.09719281527272734</v>
      </c>
      <c r="H38" s="27">
        <f>1.71/2</f>
        <v>0.855</v>
      </c>
      <c r="I38" s="27">
        <f>H38-$F$3</f>
        <v>0.265</v>
      </c>
      <c r="J38" s="74">
        <f>I38/F26</f>
        <v>0.0212</v>
      </c>
      <c r="K38" s="27">
        <f>J38*0.0254</f>
        <v>0.0005384799999999999</v>
      </c>
      <c r="L38" s="26">
        <f t="shared" si="6"/>
        <v>0.0009286318331892815</v>
      </c>
      <c r="M38" s="26">
        <f t="shared" si="7"/>
        <v>0.9286318331892816</v>
      </c>
      <c r="N38" s="26">
        <f t="shared" si="8"/>
        <v>0.036560308393278805</v>
      </c>
    </row>
    <row r="39" spans="2:14" ht="12.75">
      <c r="B39" s="120" t="s">
        <v>263</v>
      </c>
      <c r="C39" s="120"/>
      <c r="D39" s="120"/>
      <c r="E39" s="120"/>
      <c r="F39" s="120"/>
      <c r="G39" s="137">
        <f>SUM(G31:G38)/8</f>
        <v>0.11503343389404548</v>
      </c>
      <c r="H39" s="120"/>
      <c r="I39" s="120"/>
      <c r="J39" s="120"/>
      <c r="K39" s="120"/>
      <c r="L39" s="120"/>
      <c r="M39" s="120"/>
      <c r="N39" s="120"/>
    </row>
    <row r="42" spans="2:5" ht="12.75">
      <c r="B42" s="26"/>
      <c r="C42" s="60" t="s">
        <v>239</v>
      </c>
      <c r="D42" s="26">
        <f>SUM(E31:E38)/8</f>
        <v>55.9795375</v>
      </c>
      <c r="E42" s="26" t="s">
        <v>176</v>
      </c>
    </row>
    <row r="43" spans="2:5" ht="12.75">
      <c r="B43" s="122"/>
      <c r="C43" s="123" t="s">
        <v>177</v>
      </c>
      <c r="D43" s="26">
        <f>SUM(L19:L26)/8</f>
        <v>249.0093887197577</v>
      </c>
      <c r="E43" s="26" t="s">
        <v>178</v>
      </c>
    </row>
    <row r="44" spans="2:5" ht="12.75">
      <c r="B44" s="26"/>
      <c r="C44" s="60" t="s">
        <v>238</v>
      </c>
      <c r="D44" s="26">
        <f>SUM(F19:F26)/8</f>
        <v>10</v>
      </c>
      <c r="E44" s="26" t="s">
        <v>179</v>
      </c>
    </row>
    <row r="45" spans="2:5" ht="12.75">
      <c r="B45" s="26"/>
      <c r="C45" s="60" t="s">
        <v>180</v>
      </c>
      <c r="D45" s="26">
        <f>SUM(K19:K26)/8</f>
        <v>180.35558892757615</v>
      </c>
      <c r="E45" s="26" t="s">
        <v>179</v>
      </c>
    </row>
    <row r="47" spans="2:4" ht="38.25">
      <c r="B47" s="73" t="s">
        <v>223</v>
      </c>
      <c r="C47" s="77" t="s">
        <v>181</v>
      </c>
      <c r="D47" s="82" t="s">
        <v>182</v>
      </c>
    </row>
    <row r="48" spans="2:4" ht="12.75">
      <c r="B48" s="27" t="s">
        <v>53</v>
      </c>
      <c r="C48" s="26">
        <v>1385.801</v>
      </c>
      <c r="D48" s="83">
        <f aca="true" t="shared" si="9" ref="D48:D55">C48/(K19*F19*9.81)</f>
        <v>0.10193682425319572</v>
      </c>
    </row>
    <row r="49" spans="2:4" ht="12.75">
      <c r="B49" s="27" t="s">
        <v>55</v>
      </c>
      <c r="C49" s="26">
        <v>1726.875</v>
      </c>
      <c r="D49" s="83">
        <f t="shared" si="9"/>
        <v>0.11326311510278746</v>
      </c>
    </row>
    <row r="50" spans="2:4" ht="12.75">
      <c r="B50" s="27" t="s">
        <v>55</v>
      </c>
      <c r="C50" s="26">
        <v>1436.179</v>
      </c>
      <c r="D50" s="83">
        <f t="shared" si="9"/>
        <v>0.12742095734006778</v>
      </c>
    </row>
    <row r="51" spans="2:4" ht="12.75">
      <c r="B51" s="27" t="s">
        <v>57</v>
      </c>
      <c r="C51" s="26">
        <v>1571.995</v>
      </c>
      <c r="D51" s="83">
        <f t="shared" si="9"/>
        <v>0.119925651754891</v>
      </c>
    </row>
    <row r="52" spans="2:4" ht="12.75">
      <c r="B52" s="27" t="s">
        <v>57</v>
      </c>
      <c r="C52" s="26">
        <v>2120.752</v>
      </c>
      <c r="D52" s="83">
        <f t="shared" si="9"/>
        <v>0.09708265418492847</v>
      </c>
    </row>
    <row r="53" spans="2:4" ht="12.75">
      <c r="B53" s="27" t="s">
        <v>58</v>
      </c>
      <c r="C53" s="26">
        <v>2261.403</v>
      </c>
      <c r="D53" s="83">
        <f t="shared" si="9"/>
        <v>0.11326309416051289</v>
      </c>
    </row>
    <row r="54" spans="2:4" ht="12.75">
      <c r="B54" s="27" t="s">
        <v>58</v>
      </c>
      <c r="C54" s="26">
        <v>1504.179</v>
      </c>
      <c r="D54" s="83">
        <f t="shared" si="9"/>
        <v>0.08154946271353816</v>
      </c>
    </row>
    <row r="55" spans="2:4" ht="12.75">
      <c r="B55" s="27" t="s">
        <v>59</v>
      </c>
      <c r="C55" s="26">
        <v>2421.263</v>
      </c>
      <c r="D55" s="83">
        <f t="shared" si="9"/>
        <v>0.08154943970381488</v>
      </c>
    </row>
    <row r="57" spans="2:3" ht="12.75">
      <c r="B57" s="85" t="s">
        <v>183</v>
      </c>
      <c r="C57">
        <f>SUM(C48:C55)/8</f>
        <v>1803.555875</v>
      </c>
    </row>
    <row r="58" spans="16:25" ht="12.75">
      <c r="P58" s="89"/>
      <c r="Q58" s="89"/>
      <c r="R58" s="89"/>
      <c r="S58" s="89"/>
      <c r="T58" s="89"/>
      <c r="U58" s="89"/>
      <c r="V58" s="89"/>
      <c r="W58" s="89"/>
      <c r="X58" s="89"/>
      <c r="Y58" s="89"/>
    </row>
  </sheetData>
  <sheetProtection/>
  <mergeCells count="4">
    <mergeCell ref="G6:I6"/>
    <mergeCell ref="A7:B15"/>
    <mergeCell ref="A18:B26"/>
    <mergeCell ref="A30:B38"/>
  </mergeCells>
  <printOptions/>
  <pageMargins left="0.787401575" right="0.5" top="0.984251969" bottom="0.984251969" header="0.5" footer="0.5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89"/>
  <sheetViews>
    <sheetView tabSelected="1" zoomScalePageLayoutView="0" workbookViewId="0" topLeftCell="A56">
      <selection activeCell="D85" sqref="D85"/>
    </sheetView>
  </sheetViews>
  <sheetFormatPr defaultColWidth="8.8515625" defaultRowHeight="12.75"/>
  <cols>
    <col min="1" max="1" width="11.421875" style="0" customWidth="1"/>
    <col min="2" max="2" width="15.00390625" style="0" customWidth="1"/>
    <col min="3" max="3" width="9.7109375" style="0" customWidth="1"/>
    <col min="4" max="4" width="12.8515625" style="0" customWidth="1"/>
    <col min="5" max="10" width="8.8515625" style="0" customWidth="1"/>
    <col min="11" max="11" width="8.7109375" style="0" customWidth="1"/>
    <col min="12" max="14" width="8.8515625" style="0" customWidth="1"/>
    <col min="15" max="15" width="10.140625" style="0" customWidth="1"/>
    <col min="16" max="16" width="8.8515625" style="0" customWidth="1"/>
    <col min="17" max="17" width="11.140625" style="0" customWidth="1"/>
    <col min="18" max="20" width="8.8515625" style="0" customWidth="1"/>
    <col min="21" max="21" width="10.421875" style="0" customWidth="1"/>
    <col min="22" max="24" width="8.8515625" style="0" customWidth="1"/>
    <col min="25" max="25" width="9.8515625" style="0" customWidth="1"/>
  </cols>
  <sheetData>
    <row r="1" spans="1:37" ht="12.75">
      <c r="A1" s="36" t="s">
        <v>7</v>
      </c>
      <c r="AB1" s="89"/>
      <c r="AC1" s="89"/>
      <c r="AD1" s="89"/>
      <c r="AE1" s="89"/>
      <c r="AF1" s="89"/>
      <c r="AG1" s="89"/>
      <c r="AH1" s="89"/>
      <c r="AI1" s="89"/>
      <c r="AJ1" s="89"/>
      <c r="AK1" s="89"/>
    </row>
    <row r="2" spans="3:37" ht="12.75">
      <c r="C2" s="36"/>
      <c r="F2" s="81" t="s">
        <v>264</v>
      </c>
      <c r="G2" s="81"/>
      <c r="H2" s="81"/>
      <c r="AB2" s="89"/>
      <c r="AC2" s="89"/>
      <c r="AD2" s="89"/>
      <c r="AE2" s="89"/>
      <c r="AF2" s="89"/>
      <c r="AG2" s="89"/>
      <c r="AH2" s="89"/>
      <c r="AI2" s="89"/>
      <c r="AJ2" s="89"/>
      <c r="AK2" s="89"/>
    </row>
    <row r="3" spans="13:37" ht="12.75">
      <c r="M3" s="71"/>
      <c r="N3" s="131" t="s">
        <v>205</v>
      </c>
      <c r="O3" s="130">
        <v>0.079</v>
      </c>
      <c r="P3" t="s">
        <v>72</v>
      </c>
      <c r="Q3" s="124"/>
      <c r="R3" s="126"/>
      <c r="S3" s="125" t="s">
        <v>271</v>
      </c>
      <c r="T3" s="127">
        <f>90-$O$8</f>
        <v>60</v>
      </c>
      <c r="U3" t="s">
        <v>260</v>
      </c>
      <c r="AB3" s="89"/>
      <c r="AC3" s="89"/>
      <c r="AD3" s="89"/>
      <c r="AE3" s="89"/>
      <c r="AF3" s="89"/>
      <c r="AG3" s="89"/>
      <c r="AH3" s="89"/>
      <c r="AI3" s="89"/>
      <c r="AJ3" s="89"/>
      <c r="AK3" s="89"/>
    </row>
    <row r="4" spans="1:37" ht="12.75">
      <c r="A4" s="95" t="s">
        <v>10</v>
      </c>
      <c r="H4" s="95" t="s">
        <v>13</v>
      </c>
      <c r="Q4" s="122"/>
      <c r="R4" s="128"/>
      <c r="S4" s="128"/>
      <c r="T4" s="129">
        <f>T3*(PI()/180)</f>
        <v>1.0471975511965976</v>
      </c>
      <c r="U4" t="s">
        <v>261</v>
      </c>
      <c r="AB4" s="89"/>
      <c r="AC4" s="89"/>
      <c r="AD4" s="89"/>
      <c r="AE4" s="89"/>
      <c r="AF4" s="89"/>
      <c r="AG4" s="89"/>
      <c r="AH4" s="89"/>
      <c r="AI4" s="89"/>
      <c r="AJ4" s="89"/>
      <c r="AK4" s="89"/>
    </row>
    <row r="5" spans="3:37" ht="12.75">
      <c r="C5" s="24" t="s">
        <v>11</v>
      </c>
      <c r="D5" s="20">
        <v>2600</v>
      </c>
      <c r="E5" t="s">
        <v>187</v>
      </c>
      <c r="I5" s="84" t="s">
        <v>312</v>
      </c>
      <c r="J5" s="12">
        <v>8314.4</v>
      </c>
      <c r="K5" s="5" t="s">
        <v>286</v>
      </c>
      <c r="M5" s="124"/>
      <c r="N5" s="125" t="s">
        <v>259</v>
      </c>
      <c r="O5" s="127">
        <v>15</v>
      </c>
      <c r="P5" t="s">
        <v>260</v>
      </c>
      <c r="Z5" s="24" t="s">
        <v>230</v>
      </c>
      <c r="AA5">
        <v>0.25</v>
      </c>
      <c r="AB5" s="89"/>
      <c r="AC5" s="89"/>
      <c r="AD5" s="89"/>
      <c r="AE5" s="89"/>
      <c r="AF5" s="89"/>
      <c r="AG5" s="89"/>
      <c r="AH5" s="89"/>
      <c r="AI5" s="89"/>
      <c r="AJ5" s="89"/>
      <c r="AK5" s="89"/>
    </row>
    <row r="6" spans="3:37" ht="12.75">
      <c r="C6" s="24" t="s">
        <v>12</v>
      </c>
      <c r="D6">
        <v>1.26</v>
      </c>
      <c r="I6" s="84" t="s">
        <v>247</v>
      </c>
      <c r="J6" s="12">
        <v>101.3</v>
      </c>
      <c r="K6" s="5" t="s">
        <v>283</v>
      </c>
      <c r="M6" s="122"/>
      <c r="N6" s="128"/>
      <c r="O6" s="129">
        <f>O5*(PI()/180)</f>
        <v>0.2617993877991494</v>
      </c>
      <c r="P6" t="s">
        <v>261</v>
      </c>
      <c r="R6" s="124"/>
      <c r="S6" s="125" t="s">
        <v>242</v>
      </c>
      <c r="T6" s="127">
        <v>0.03</v>
      </c>
      <c r="U6" t="s">
        <v>173</v>
      </c>
      <c r="Z6" s="24" t="s">
        <v>229</v>
      </c>
      <c r="AA6">
        <f>J8-2*AA5</f>
        <v>2.04</v>
      </c>
      <c r="AB6" s="89"/>
      <c r="AC6" s="89"/>
      <c r="AD6" s="89"/>
      <c r="AE6" s="89"/>
      <c r="AF6" s="89"/>
      <c r="AG6" s="89"/>
      <c r="AH6" s="89"/>
      <c r="AI6" s="89"/>
      <c r="AJ6" s="89"/>
      <c r="AK6" s="89"/>
    </row>
    <row r="7" spans="3:37" ht="12.75">
      <c r="C7" s="84" t="s">
        <v>279</v>
      </c>
      <c r="D7" s="88">
        <f>36.1495652174</f>
        <v>36.1495652174</v>
      </c>
      <c r="E7" s="5" t="s">
        <v>285</v>
      </c>
      <c r="I7" s="24" t="s">
        <v>246</v>
      </c>
      <c r="J7">
        <v>1</v>
      </c>
      <c r="R7" s="122"/>
      <c r="S7" s="128"/>
      <c r="T7" s="129">
        <f>T6/0.0254</f>
        <v>1.1811023622047243</v>
      </c>
      <c r="U7" t="s">
        <v>72</v>
      </c>
      <c r="AB7" s="89"/>
      <c r="AC7" s="89"/>
      <c r="AD7" s="89"/>
      <c r="AE7" s="89"/>
      <c r="AF7" s="89"/>
      <c r="AG7" s="89"/>
      <c r="AH7" s="89"/>
      <c r="AI7" s="89"/>
      <c r="AJ7" s="89"/>
      <c r="AK7" s="89"/>
    </row>
    <row r="8" spans="3:37" ht="12.75">
      <c r="C8" s="87" t="s">
        <v>88</v>
      </c>
      <c r="D8">
        <f>J5/D7</f>
        <v>229.99999999994463</v>
      </c>
      <c r="E8" s="5" t="s">
        <v>284</v>
      </c>
      <c r="I8" s="24" t="s">
        <v>80</v>
      </c>
      <c r="J8">
        <v>2.54</v>
      </c>
      <c r="K8" t="s">
        <v>72</v>
      </c>
      <c r="M8" s="124"/>
      <c r="N8" s="125" t="s">
        <v>215</v>
      </c>
      <c r="O8" s="127">
        <v>30</v>
      </c>
      <c r="P8" t="s">
        <v>260</v>
      </c>
      <c r="AB8" s="89"/>
      <c r="AC8" s="89"/>
      <c r="AD8" s="89"/>
      <c r="AE8" s="89"/>
      <c r="AF8" s="89"/>
      <c r="AG8" s="89"/>
      <c r="AH8" s="89"/>
      <c r="AI8" s="89"/>
      <c r="AJ8" s="89"/>
      <c r="AK8" s="89"/>
    </row>
    <row r="9" spans="3:37" ht="14.25">
      <c r="C9" s="24" t="s">
        <v>309</v>
      </c>
      <c r="D9">
        <v>32.174</v>
      </c>
      <c r="E9" t="s">
        <v>134</v>
      </c>
      <c r="I9" s="24" t="s">
        <v>80</v>
      </c>
      <c r="J9">
        <f>J8*0.0254</f>
        <v>0.064516</v>
      </c>
      <c r="K9" t="s">
        <v>173</v>
      </c>
      <c r="M9" s="122"/>
      <c r="N9" s="128"/>
      <c r="O9" s="129">
        <f>O8*(PI()/180)</f>
        <v>0.5235987755982988</v>
      </c>
      <c r="P9" t="s">
        <v>261</v>
      </c>
      <c r="R9" s="124"/>
      <c r="S9" s="125" t="s">
        <v>202</v>
      </c>
      <c r="T9" s="127">
        <f>T10*0.0254</f>
        <v>0.0635</v>
      </c>
      <c r="U9" t="s">
        <v>173</v>
      </c>
      <c r="AB9" s="89"/>
      <c r="AC9" s="89"/>
      <c r="AD9" s="89"/>
      <c r="AE9" s="89"/>
      <c r="AF9" s="89"/>
      <c r="AG9" s="89"/>
      <c r="AH9" s="89"/>
      <c r="AI9" s="89"/>
      <c r="AJ9" s="89"/>
      <c r="AK9" s="89"/>
    </row>
    <row r="10" spans="3:37" ht="14.25">
      <c r="C10" s="24" t="s">
        <v>309</v>
      </c>
      <c r="D10">
        <v>0.99999849082</v>
      </c>
      <c r="E10" t="s">
        <v>135</v>
      </c>
      <c r="R10" s="122"/>
      <c r="S10" s="128"/>
      <c r="T10" s="129">
        <v>2.5</v>
      </c>
      <c r="U10" t="s">
        <v>72</v>
      </c>
      <c r="AB10" s="89"/>
      <c r="AC10" s="89"/>
      <c r="AD10" s="89"/>
      <c r="AE10" s="89"/>
      <c r="AF10" s="89"/>
      <c r="AG10" s="89"/>
      <c r="AH10" s="89"/>
      <c r="AI10" s="89"/>
      <c r="AJ10" s="89"/>
      <c r="AK10" s="89"/>
    </row>
    <row r="11" spans="13:37" ht="12.75">
      <c r="M11" s="124"/>
      <c r="N11" s="125" t="s">
        <v>216</v>
      </c>
      <c r="O11" s="127">
        <v>2</v>
      </c>
      <c r="P11" t="s">
        <v>72</v>
      </c>
      <c r="AB11" s="89"/>
      <c r="AC11" s="89"/>
      <c r="AD11" s="89"/>
      <c r="AE11" s="89"/>
      <c r="AF11" s="89"/>
      <c r="AG11" s="89"/>
      <c r="AH11" s="89"/>
      <c r="AI11" s="89"/>
      <c r="AJ11" s="89"/>
      <c r="AK11" s="89"/>
    </row>
    <row r="12" spans="13:37" ht="12.75">
      <c r="M12" s="122"/>
      <c r="N12" s="128"/>
      <c r="O12" s="129">
        <f>O11*0.0254</f>
        <v>0.0508</v>
      </c>
      <c r="P12" t="s">
        <v>173</v>
      </c>
      <c r="AB12" s="89"/>
      <c r="AC12" s="89"/>
      <c r="AD12" s="89"/>
      <c r="AE12" s="89"/>
      <c r="AF12" s="89"/>
      <c r="AG12" s="89"/>
      <c r="AH12" s="89"/>
      <c r="AI12" s="89"/>
      <c r="AJ12" s="89"/>
      <c r="AK12" s="89"/>
    </row>
    <row r="13" spans="11:37" ht="12.75">
      <c r="K13" s="90" t="s">
        <v>194</v>
      </c>
      <c r="L13" s="90"/>
      <c r="AB13" s="89"/>
      <c r="AC13" s="89"/>
      <c r="AD13" s="89"/>
      <c r="AE13" s="89"/>
      <c r="AF13" s="89"/>
      <c r="AG13" s="89"/>
      <c r="AH13" s="89"/>
      <c r="AI13" s="89"/>
      <c r="AJ13" s="89"/>
      <c r="AK13" s="89"/>
    </row>
    <row r="14" spans="1:37" ht="38.25">
      <c r="A14" s="78" t="s">
        <v>8</v>
      </c>
      <c r="B14" s="78" t="s">
        <v>9</v>
      </c>
      <c r="C14" s="78" t="s">
        <v>17</v>
      </c>
      <c r="D14" s="25" t="s">
        <v>14</v>
      </c>
      <c r="E14" s="25" t="s">
        <v>15</v>
      </c>
      <c r="F14" t="s">
        <v>16</v>
      </c>
      <c r="G14" t="s">
        <v>18</v>
      </c>
      <c r="H14" t="s">
        <v>243</v>
      </c>
      <c r="I14" t="s">
        <v>244</v>
      </c>
      <c r="J14" t="s">
        <v>245</v>
      </c>
      <c r="K14" s="90" t="s">
        <v>248</v>
      </c>
      <c r="L14" s="90" t="s">
        <v>193</v>
      </c>
      <c r="M14" t="s">
        <v>75</v>
      </c>
      <c r="N14" t="s">
        <v>76</v>
      </c>
      <c r="O14" t="s">
        <v>77</v>
      </c>
      <c r="P14" t="s">
        <v>78</v>
      </c>
      <c r="Q14" t="s">
        <v>79</v>
      </c>
      <c r="R14" t="s">
        <v>81</v>
      </c>
      <c r="S14" t="s">
        <v>82</v>
      </c>
      <c r="T14" s="78" t="s">
        <v>213</v>
      </c>
      <c r="U14" s="78" t="s">
        <v>214</v>
      </c>
      <c r="V14" t="s">
        <v>217</v>
      </c>
      <c r="W14" t="s">
        <v>218</v>
      </c>
      <c r="X14" t="s">
        <v>206</v>
      </c>
      <c r="Y14" t="s">
        <v>311</v>
      </c>
      <c r="Z14" t="s">
        <v>148</v>
      </c>
      <c r="AA14" t="s">
        <v>153</v>
      </c>
      <c r="AB14" s="89"/>
      <c r="AC14" s="89"/>
      <c r="AD14" s="89"/>
      <c r="AE14" s="89"/>
      <c r="AF14" s="89"/>
      <c r="AG14" s="89"/>
      <c r="AH14" s="89"/>
      <c r="AI14" s="89"/>
      <c r="AJ14" s="89"/>
      <c r="AK14" s="89"/>
    </row>
    <row r="15" spans="1:37" s="86" customFormat="1" ht="12.75">
      <c r="A15" s="91">
        <v>0.16</v>
      </c>
      <c r="B15" s="91">
        <v>300</v>
      </c>
      <c r="C15" s="91">
        <f aca="true" t="shared" si="0" ref="C15:C32">B15*6894.75729317</f>
        <v>2068427.187951</v>
      </c>
      <c r="D15" s="91">
        <f aca="true" t="shared" si="1" ref="D15:D32">(SQRT($D$6*$D$8*$D$5))/($D$6*SQRT((2/($D$6+1))^(($D$6+1)/($D$6-1))))</f>
        <v>1171.797051059091</v>
      </c>
      <c r="E15" s="91">
        <f aca="true" t="shared" si="2" ref="E15:E32">D15*3.28083989501</f>
        <v>3844.478513969736</v>
      </c>
      <c r="F15" s="91">
        <f aca="true" t="shared" si="3" ref="F15:F32">(A15/(L15*10^3))*(($J$5*K15)/($D$7*$D$6))^(1/2)</f>
        <v>2.552741484820395E-05</v>
      </c>
      <c r="G15" s="91">
        <f aca="true" t="shared" si="4" ref="G15:G32">SQRT(F15*4/PI())</f>
        <v>0.00570109761884436</v>
      </c>
      <c r="H15" s="91">
        <f aca="true" t="shared" si="5" ref="H15:H32">F15*1550.00310001</f>
        <v>0.03956757214995743</v>
      </c>
      <c r="I15" s="91">
        <f aca="true" t="shared" si="6" ref="I15:I32">SQRT(H15*4/PI())</f>
        <v>0.2244526621595019</v>
      </c>
      <c r="J15" s="92">
        <f aca="true" t="shared" si="7" ref="J15:J32">SQRT((2/($D$6-1))*(((C15/1000)/$J$6)^(($D$6-1)/$D$6)-1))</f>
        <v>2.577231736451192</v>
      </c>
      <c r="K15" s="93">
        <f aca="true" t="shared" si="8" ref="K15:K32">$D$5*(1/(1+($D$6-1)/2))</f>
        <v>2300.8849557522126</v>
      </c>
      <c r="L15" s="93">
        <f aca="true" t="shared" si="9" ref="L15:L32">(C15/1000)*(1-($D$6-1)/2)^(-$D$6/($D$6-1))</f>
        <v>4061.9936875056305</v>
      </c>
      <c r="M15" s="91">
        <f aca="true" t="shared" si="10" ref="M15:M32">(F15/J15)*((1+(($D$6-1)/2)*J15^2)/(($D$6+1)/2))^(($D$6+1)/(2*($D$6-1)))</f>
        <v>8.710341237851291E-05</v>
      </c>
      <c r="N15" s="91">
        <f aca="true" t="shared" si="11" ref="N15:N32">SQRT(M15*4/PI())</f>
        <v>0.010531073502815224</v>
      </c>
      <c r="O15" s="91">
        <f aca="true" t="shared" si="12" ref="O15:O32">M15*1550.00310001</f>
        <v>0.13501055920814442</v>
      </c>
      <c r="P15" s="91">
        <f aca="true" t="shared" si="13" ref="P15:P32">SQRT(O15*4/PI())</f>
        <v>0.41460919302472965</v>
      </c>
      <c r="Q15" s="91">
        <f aca="true" t="shared" si="14" ref="Q15:Q32">M15/F15</f>
        <v>3.412151715967483</v>
      </c>
      <c r="R15" s="91">
        <f aca="true" t="shared" si="15" ref="R15:R32">(N15/2-G15/2)/TAN($O$6)</f>
        <v>0.009012857699155833</v>
      </c>
      <c r="S15" s="91">
        <f aca="true" t="shared" si="16" ref="S15:S32">R15*39.3700787402</f>
        <v>0.35483691728998296</v>
      </c>
      <c r="T15" s="91">
        <f aca="true" t="shared" si="17" ref="T15:T32">$O$3</f>
        <v>0.079</v>
      </c>
      <c r="U15" s="91">
        <f aca="true" t="shared" si="18" ref="U15:U32">T15*0.0254</f>
        <v>0.0020066</v>
      </c>
      <c r="V15" s="91">
        <f aca="true" t="shared" si="19" ref="V15:V32">$O$11-S15-T15</f>
        <v>1.566163082710017</v>
      </c>
      <c r="W15" s="91">
        <f aca="true" t="shared" si="20" ref="W15:W32">$O$12-R15-U15</f>
        <v>0.03978054230084417</v>
      </c>
      <c r="X15" s="91">
        <f aca="true" t="shared" si="21" ref="X15:X32">2*((SIN($O$9)/SIN($T$4))*V15)+I15</f>
        <v>2.0329020169544667</v>
      </c>
      <c r="Y15" s="92">
        <f aca="true" t="shared" si="22" ref="Y15:Y32">SQRT((2*$D$6)/($D$6-1)*$D$8*$D$5*(1-($J$6/(C15/1000))^(($D$6-1)/$D$6)))</f>
        <v>1638.805557639407</v>
      </c>
      <c r="Z15" s="91">
        <f aca="true" t="shared" si="23" ref="Z15:Z32">Y15/J15</f>
        <v>635.8782310728552</v>
      </c>
      <c r="AA15" s="92">
        <f aca="true" t="shared" si="24" ref="AA15:AA32">Z15^2/($D$8*$D$6)</f>
        <v>1395.2419763714313</v>
      </c>
      <c r="AB15" s="89"/>
      <c r="AC15" s="89"/>
      <c r="AD15" s="89"/>
      <c r="AE15" s="89"/>
      <c r="AF15" s="89"/>
      <c r="AG15" s="89"/>
      <c r="AH15" s="89"/>
      <c r="AI15" s="89"/>
      <c r="AJ15" s="89"/>
      <c r="AK15" s="89"/>
    </row>
    <row r="16" spans="1:37" s="86" customFormat="1" ht="12.75">
      <c r="A16" s="91">
        <v>0.14</v>
      </c>
      <c r="B16" s="91">
        <v>263</v>
      </c>
      <c r="C16" s="91">
        <f t="shared" si="0"/>
        <v>1813321.1681037098</v>
      </c>
      <c r="D16" s="91">
        <f t="shared" si="1"/>
        <v>1171.797051059091</v>
      </c>
      <c r="E16" s="91">
        <f t="shared" si="2"/>
        <v>3844.478513969736</v>
      </c>
      <c r="F16" s="91">
        <f t="shared" si="3"/>
        <v>2.5478883641268208E-05</v>
      </c>
      <c r="G16" s="91">
        <f t="shared" si="4"/>
        <v>0.005695675746368338</v>
      </c>
      <c r="H16" s="91">
        <f t="shared" si="5"/>
        <v>0.0394923486287598</v>
      </c>
      <c r="I16" s="91">
        <f t="shared" si="6"/>
        <v>0.22423920261320154</v>
      </c>
      <c r="J16" s="92">
        <f t="shared" si="7"/>
        <v>2.5016034591127263</v>
      </c>
      <c r="K16" s="93">
        <f t="shared" si="8"/>
        <v>2300.8849557522126</v>
      </c>
      <c r="L16" s="93">
        <f t="shared" si="9"/>
        <v>3561.0144660466026</v>
      </c>
      <c r="M16" s="91">
        <f t="shared" si="10"/>
        <v>7.959325261352243E-05</v>
      </c>
      <c r="N16" s="91">
        <f t="shared" si="11"/>
        <v>0.010066840453768605</v>
      </c>
      <c r="O16" s="91">
        <f t="shared" si="12"/>
        <v>0.1233697882908388</v>
      </c>
      <c r="P16" s="91">
        <f t="shared" si="13"/>
        <v>0.3963323013299585</v>
      </c>
      <c r="Q16" s="91">
        <f t="shared" si="14"/>
        <v>3.123890894678174</v>
      </c>
      <c r="R16" s="91">
        <f t="shared" si="15"/>
        <v>0.008156704388134872</v>
      </c>
      <c r="S16" s="91">
        <f t="shared" si="16"/>
        <v>0.3211300940214048</v>
      </c>
      <c r="T16" s="91">
        <f t="shared" si="17"/>
        <v>0.079</v>
      </c>
      <c r="U16" s="91">
        <f t="shared" si="18"/>
        <v>0.0020066</v>
      </c>
      <c r="V16" s="91">
        <f t="shared" si="19"/>
        <v>1.5998699059785952</v>
      </c>
      <c r="W16" s="91">
        <f t="shared" si="20"/>
        <v>0.04063669561186513</v>
      </c>
      <c r="X16" s="91">
        <f t="shared" si="21"/>
        <v>2.0716098443834476</v>
      </c>
      <c r="Y16" s="92">
        <f t="shared" si="22"/>
        <v>1612.4655863952491</v>
      </c>
      <c r="Z16" s="91">
        <f t="shared" si="23"/>
        <v>644.5728160957859</v>
      </c>
      <c r="AA16" s="92">
        <f t="shared" si="24"/>
        <v>1433.658092649247</v>
      </c>
      <c r="AB16" s="89"/>
      <c r="AC16" s="89"/>
      <c r="AD16" s="89"/>
      <c r="AE16" s="89"/>
      <c r="AF16" s="89"/>
      <c r="AG16" s="89"/>
      <c r="AH16" s="89"/>
      <c r="AI16" s="89"/>
      <c r="AJ16" s="89"/>
      <c r="AK16" s="89"/>
    </row>
    <row r="17" spans="1:37" s="86" customFormat="1" ht="12.75">
      <c r="A17" s="91">
        <v>0.14</v>
      </c>
      <c r="B17" s="91">
        <v>350</v>
      </c>
      <c r="C17" s="91">
        <f t="shared" si="0"/>
        <v>2413165.0526095</v>
      </c>
      <c r="D17" s="91">
        <f t="shared" si="1"/>
        <v>1171.797051059091</v>
      </c>
      <c r="E17" s="91">
        <f t="shared" si="2"/>
        <v>3844.478513969736</v>
      </c>
      <c r="F17" s="91">
        <f t="shared" si="3"/>
        <v>1.9145561136152965E-05</v>
      </c>
      <c r="G17" s="91">
        <f t="shared" si="4"/>
        <v>0.004937295367374189</v>
      </c>
      <c r="H17" s="91">
        <f t="shared" si="5"/>
        <v>0.029675679112468073</v>
      </c>
      <c r="I17" s="91">
        <f t="shared" si="6"/>
        <v>0.19438170737717483</v>
      </c>
      <c r="J17" s="92">
        <f t="shared" si="7"/>
        <v>2.6655983963712253</v>
      </c>
      <c r="K17" s="93">
        <f t="shared" si="8"/>
        <v>2300.8849557522126</v>
      </c>
      <c r="L17" s="93">
        <f t="shared" si="9"/>
        <v>4738.992635423236</v>
      </c>
      <c r="M17" s="91">
        <f t="shared" si="10"/>
        <v>7.252617375994711E-05</v>
      </c>
      <c r="N17" s="91">
        <f t="shared" si="11"/>
        <v>0.009609536537185255</v>
      </c>
      <c r="O17" s="91">
        <f t="shared" si="12"/>
        <v>0.11241579415978194</v>
      </c>
      <c r="P17" s="91">
        <f t="shared" si="13"/>
        <v>0.3783282101258675</v>
      </c>
      <c r="Q17" s="91">
        <f t="shared" si="14"/>
        <v>3.7881456304247156</v>
      </c>
      <c r="R17" s="91">
        <f t="shared" si="15"/>
        <v>0.008718520715474973</v>
      </c>
      <c r="S17" s="91">
        <f t="shared" si="16"/>
        <v>0.34324884706631453</v>
      </c>
      <c r="T17" s="91">
        <f t="shared" si="17"/>
        <v>0.079</v>
      </c>
      <c r="U17" s="91">
        <f t="shared" si="18"/>
        <v>0.0020066</v>
      </c>
      <c r="V17" s="91">
        <f t="shared" si="19"/>
        <v>1.5777511529336856</v>
      </c>
      <c r="W17" s="91">
        <f t="shared" si="20"/>
        <v>0.04007487928452503</v>
      </c>
      <c r="X17" s="91">
        <f t="shared" si="21"/>
        <v>2.0162118130981863</v>
      </c>
      <c r="Y17" s="92">
        <f t="shared" si="22"/>
        <v>1668.2512825789865</v>
      </c>
      <c r="Z17" s="91">
        <f t="shared" si="23"/>
        <v>625.8449453038526</v>
      </c>
      <c r="AA17" s="92">
        <f t="shared" si="24"/>
        <v>1351.5593359643772</v>
      </c>
      <c r="AB17" s="89"/>
      <c r="AC17" s="89"/>
      <c r="AD17" s="89"/>
      <c r="AE17" s="89"/>
      <c r="AF17" s="89"/>
      <c r="AG17" s="89"/>
      <c r="AH17" s="89"/>
      <c r="AI17" s="89"/>
      <c r="AJ17" s="89"/>
      <c r="AK17" s="89"/>
    </row>
    <row r="18" spans="1:27" s="89" customFormat="1" ht="12.75">
      <c r="A18" s="91">
        <v>0.14</v>
      </c>
      <c r="B18" s="91">
        <v>375</v>
      </c>
      <c r="C18" s="91">
        <f t="shared" si="0"/>
        <v>2585533.98493875</v>
      </c>
      <c r="D18" s="91">
        <f t="shared" si="1"/>
        <v>1171.797051059091</v>
      </c>
      <c r="E18" s="91">
        <f t="shared" si="2"/>
        <v>3844.478513969736</v>
      </c>
      <c r="F18" s="91">
        <f t="shared" si="3"/>
        <v>1.7869190393742765E-05</v>
      </c>
      <c r="G18" s="91">
        <f t="shared" si="4"/>
        <v>0.004769880485055677</v>
      </c>
      <c r="H18" s="91">
        <f t="shared" si="5"/>
        <v>0.0276973005049702</v>
      </c>
      <c r="I18" s="91">
        <f t="shared" si="6"/>
        <v>0.18779057027801277</v>
      </c>
      <c r="J18" s="92">
        <f t="shared" si="7"/>
        <v>2.705104652336425</v>
      </c>
      <c r="K18" s="93">
        <f t="shared" si="8"/>
        <v>2300.8849557522126</v>
      </c>
      <c r="L18" s="93">
        <f t="shared" si="9"/>
        <v>5077.4921093820385</v>
      </c>
      <c r="M18" s="91">
        <f t="shared" si="10"/>
        <v>7.096005927352929E-05</v>
      </c>
      <c r="N18" s="91">
        <f t="shared" si="11"/>
        <v>0.009505217176046458</v>
      </c>
      <c r="O18" s="91">
        <f t="shared" si="12"/>
        <v>0.10998831185086376</v>
      </c>
      <c r="P18" s="91">
        <f t="shared" si="13"/>
        <v>0.3742211486637051</v>
      </c>
      <c r="Q18" s="91">
        <f t="shared" si="14"/>
        <v>3.9710841795259677</v>
      </c>
      <c r="R18" s="91">
        <f t="shared" si="15"/>
        <v>0.008836258560861341</v>
      </c>
      <c r="S18" s="91">
        <f t="shared" si="16"/>
        <v>0.34788419530987735</v>
      </c>
      <c r="T18" s="91">
        <f t="shared" si="17"/>
        <v>0.079</v>
      </c>
      <c r="U18" s="91">
        <f t="shared" si="18"/>
        <v>0.0020066</v>
      </c>
      <c r="V18" s="91">
        <f t="shared" si="19"/>
        <v>1.5731158046901228</v>
      </c>
      <c r="W18" s="91">
        <f t="shared" si="20"/>
        <v>0.03995714143913866</v>
      </c>
      <c r="X18" s="91">
        <f t="shared" si="21"/>
        <v>2.004268236886607</v>
      </c>
      <c r="Y18" s="92">
        <f t="shared" si="22"/>
        <v>1680.9677313207437</v>
      </c>
      <c r="Z18" s="91">
        <f t="shared" si="23"/>
        <v>621.4058039746727</v>
      </c>
      <c r="AA18" s="92">
        <f t="shared" si="24"/>
        <v>1332.4540138492143</v>
      </c>
    </row>
    <row r="19" spans="1:27" s="89" customFormat="1" ht="12.75">
      <c r="A19" s="91">
        <v>0.14</v>
      </c>
      <c r="B19" s="91">
        <v>400</v>
      </c>
      <c r="C19" s="91">
        <f t="shared" si="0"/>
        <v>2757902.917268</v>
      </c>
      <c r="D19" s="91">
        <f t="shared" si="1"/>
        <v>1171.797051059091</v>
      </c>
      <c r="E19" s="91">
        <f t="shared" si="2"/>
        <v>3844.478513969736</v>
      </c>
      <c r="F19" s="91">
        <f t="shared" si="3"/>
        <v>1.6752365994133842E-05</v>
      </c>
      <c r="G19" s="91">
        <f t="shared" si="4"/>
        <v>0.0046184169205050985</v>
      </c>
      <c r="H19" s="91">
        <f t="shared" si="5"/>
        <v>0.02596621922340956</v>
      </c>
      <c r="I19" s="91">
        <f t="shared" si="6"/>
        <v>0.18182743781538424</v>
      </c>
      <c r="J19" s="92">
        <f t="shared" si="7"/>
        <v>2.742047057692247</v>
      </c>
      <c r="K19" s="93">
        <f t="shared" si="8"/>
        <v>2300.8849557522126</v>
      </c>
      <c r="L19" s="93">
        <f t="shared" si="9"/>
        <v>5415.991583340841</v>
      </c>
      <c r="M19" s="91">
        <f t="shared" si="10"/>
        <v>6.953945534020539E-05</v>
      </c>
      <c r="N19" s="91">
        <f t="shared" si="11"/>
        <v>0.009409590026058217</v>
      </c>
      <c r="O19" s="91">
        <f t="shared" si="12"/>
        <v>0.1077863713503253</v>
      </c>
      <c r="P19" s="91">
        <f t="shared" si="13"/>
        <v>0.3704563002389666</v>
      </c>
      <c r="Q19" s="91">
        <f t="shared" si="14"/>
        <v>4.151022928018403</v>
      </c>
      <c r="R19" s="91">
        <f t="shared" si="15"/>
        <v>0.008940450728890902</v>
      </c>
      <c r="S19" s="91">
        <f t="shared" si="16"/>
        <v>0.35198624916931326</v>
      </c>
      <c r="T19" s="91">
        <f t="shared" si="17"/>
        <v>0.079</v>
      </c>
      <c r="U19" s="91">
        <f t="shared" si="18"/>
        <v>0.0020066</v>
      </c>
      <c r="V19" s="91">
        <f t="shared" si="19"/>
        <v>1.5690137508306867</v>
      </c>
      <c r="W19" s="91">
        <f t="shared" si="20"/>
        <v>0.0398529492711091</v>
      </c>
      <c r="X19" s="91">
        <f t="shared" si="21"/>
        <v>1.9935684606240267</v>
      </c>
      <c r="Y19" s="92">
        <f t="shared" si="22"/>
        <v>1692.6156673476612</v>
      </c>
      <c r="Z19" s="91">
        <f t="shared" si="23"/>
        <v>617.2817722436154</v>
      </c>
      <c r="AA19" s="92">
        <f t="shared" si="24"/>
        <v>1314.8267299665642</v>
      </c>
    </row>
    <row r="20" spans="1:28" s="89" customFormat="1" ht="12.75">
      <c r="A20" s="91">
        <v>0.14</v>
      </c>
      <c r="B20" s="91">
        <v>450</v>
      </c>
      <c r="C20" s="91">
        <f t="shared" si="0"/>
        <v>3102640.7819264997</v>
      </c>
      <c r="D20" s="91">
        <f t="shared" si="1"/>
        <v>1171.797051059091</v>
      </c>
      <c r="E20" s="91">
        <f t="shared" si="2"/>
        <v>3844.478513969736</v>
      </c>
      <c r="F20" s="91">
        <f t="shared" si="3"/>
        <v>1.489099199478564E-05</v>
      </c>
      <c r="G20" s="91">
        <f t="shared" si="4"/>
        <v>0.0043542852304477965</v>
      </c>
      <c r="H20" s="91">
        <f t="shared" si="5"/>
        <v>0.023081083754141835</v>
      </c>
      <c r="I20" s="91">
        <f t="shared" si="6"/>
        <v>0.17142855238004465</v>
      </c>
      <c r="J20" s="92">
        <f t="shared" si="7"/>
        <v>2.809457112038132</v>
      </c>
      <c r="K20" s="93">
        <f t="shared" si="8"/>
        <v>2300.8849557522126</v>
      </c>
      <c r="L20" s="93">
        <f t="shared" si="9"/>
        <v>6092.990531258445</v>
      </c>
      <c r="M20" s="91">
        <f t="shared" si="10"/>
        <v>6.705113605264588E-05</v>
      </c>
      <c r="N20" s="91">
        <f t="shared" si="11"/>
        <v>0.009239705511630027</v>
      </c>
      <c r="O20" s="91">
        <f t="shared" si="12"/>
        <v>0.1039294687407934</v>
      </c>
      <c r="P20" s="91">
        <f t="shared" si="13"/>
        <v>0.3637679335291871</v>
      </c>
      <c r="Q20" s="91">
        <f t="shared" si="14"/>
        <v>4.502798475489416</v>
      </c>
      <c r="R20" s="91">
        <f t="shared" si="15"/>
        <v>0.009116318352849758</v>
      </c>
      <c r="S20" s="91">
        <f t="shared" si="16"/>
        <v>0.35891017137242537</v>
      </c>
      <c r="T20" s="91">
        <f t="shared" si="17"/>
        <v>0.079</v>
      </c>
      <c r="U20" s="91">
        <f t="shared" si="18"/>
        <v>0.0020066</v>
      </c>
      <c r="V20" s="91">
        <f t="shared" si="19"/>
        <v>1.5620898286275746</v>
      </c>
      <c r="W20" s="91">
        <f t="shared" si="20"/>
        <v>0.03967708164715024</v>
      </c>
      <c r="X20" s="91">
        <f t="shared" si="21"/>
        <v>1.9751745184930578</v>
      </c>
      <c r="Y20" s="92">
        <f t="shared" si="22"/>
        <v>1713.2794997690166</v>
      </c>
      <c r="Z20" s="91">
        <f t="shared" si="23"/>
        <v>609.8258245081773</v>
      </c>
      <c r="AA20" s="92">
        <f t="shared" si="24"/>
        <v>1283.2558186237675</v>
      </c>
      <c r="AB20" s="89">
        <f>A20*Y20</f>
        <v>239.85912996766234</v>
      </c>
    </row>
    <row r="21" spans="1:27" s="89" customFormat="1" ht="12.75">
      <c r="A21" s="89">
        <v>0.2</v>
      </c>
      <c r="B21" s="89">
        <v>300</v>
      </c>
      <c r="C21" s="89">
        <f t="shared" si="0"/>
        <v>2068427.187951</v>
      </c>
      <c r="D21" s="89">
        <f t="shared" si="1"/>
        <v>1171.797051059091</v>
      </c>
      <c r="E21" s="89">
        <f t="shared" si="2"/>
        <v>3844.478513969736</v>
      </c>
      <c r="F21" s="89">
        <f t="shared" si="3"/>
        <v>3.190926856025494E-05</v>
      </c>
      <c r="G21" s="89">
        <f t="shared" si="4"/>
        <v>0.006374020911049088</v>
      </c>
      <c r="H21" s="89">
        <f t="shared" si="5"/>
        <v>0.04945946518744679</v>
      </c>
      <c r="I21" s="89">
        <f t="shared" si="6"/>
        <v>0.25094570515972053</v>
      </c>
      <c r="J21" s="35">
        <f t="shared" si="7"/>
        <v>2.577231736451192</v>
      </c>
      <c r="K21" s="94">
        <f t="shared" si="8"/>
        <v>2300.8849557522126</v>
      </c>
      <c r="L21" s="94">
        <f t="shared" si="9"/>
        <v>4061.9936875056305</v>
      </c>
      <c r="M21" s="89">
        <f t="shared" si="10"/>
        <v>0.00010887926547314115</v>
      </c>
      <c r="N21" s="89">
        <f t="shared" si="11"/>
        <v>0.011774098114170833</v>
      </c>
      <c r="O21" s="89">
        <f t="shared" si="12"/>
        <v>0.16876319901018055</v>
      </c>
      <c r="P21" s="89">
        <f t="shared" si="13"/>
        <v>0.46354716984981365</v>
      </c>
      <c r="Q21" s="89">
        <f t="shared" si="14"/>
        <v>3.412151715967483</v>
      </c>
      <c r="R21" s="89">
        <f t="shared" si="15"/>
        <v>0.010076681243422396</v>
      </c>
      <c r="S21" s="89">
        <f t="shared" si="16"/>
        <v>0.3967197339934362</v>
      </c>
      <c r="T21" s="89">
        <f t="shared" si="17"/>
        <v>0.079</v>
      </c>
      <c r="U21" s="89">
        <f t="shared" si="18"/>
        <v>0.0020066</v>
      </c>
      <c r="V21" s="89">
        <f t="shared" si="19"/>
        <v>1.5242802660065637</v>
      </c>
      <c r="W21" s="89">
        <f t="shared" si="20"/>
        <v>0.0387167187565776</v>
      </c>
      <c r="X21" s="89">
        <f t="shared" si="21"/>
        <v>2.0110329489583685</v>
      </c>
      <c r="Y21" s="35">
        <f t="shared" si="22"/>
        <v>1638.805557639407</v>
      </c>
      <c r="Z21" s="89">
        <f t="shared" si="23"/>
        <v>635.8782310728552</v>
      </c>
      <c r="AA21" s="35">
        <f t="shared" si="24"/>
        <v>1395.2419763714313</v>
      </c>
    </row>
    <row r="22" spans="1:27" s="89" customFormat="1" ht="12.75">
      <c r="A22" s="89">
        <v>0.2</v>
      </c>
      <c r="B22" s="89">
        <v>325</v>
      </c>
      <c r="C22" s="89">
        <f t="shared" si="0"/>
        <v>2240796.12028025</v>
      </c>
      <c r="D22" s="89">
        <f t="shared" si="1"/>
        <v>1171.797051059091</v>
      </c>
      <c r="E22" s="89">
        <f t="shared" si="2"/>
        <v>3844.478513969736</v>
      </c>
      <c r="F22" s="89">
        <f t="shared" si="3"/>
        <v>2.945470944023533E-05</v>
      </c>
      <c r="G22" s="89">
        <f t="shared" si="4"/>
        <v>0.00612396120480786</v>
      </c>
      <c r="H22" s="89">
        <f t="shared" si="5"/>
        <v>0.04565489094225857</v>
      </c>
      <c r="I22" s="89">
        <f t="shared" si="6"/>
        <v>0.24110083483525063</v>
      </c>
      <c r="J22" s="35">
        <f t="shared" si="7"/>
        <v>2.623136991147582</v>
      </c>
      <c r="K22" s="94">
        <f t="shared" si="8"/>
        <v>2300.8849557522126</v>
      </c>
      <c r="L22" s="94">
        <f t="shared" si="9"/>
        <v>4400.493161464433</v>
      </c>
      <c r="M22" s="89">
        <f t="shared" si="10"/>
        <v>0.00010609407108524899</v>
      </c>
      <c r="N22" s="89">
        <f t="shared" si="11"/>
        <v>0.011622528415438803</v>
      </c>
      <c r="O22" s="89">
        <f t="shared" si="12"/>
        <v>0.16444613907481725</v>
      </c>
      <c r="P22" s="89">
        <f t="shared" si="13"/>
        <v>0.45757985887610436</v>
      </c>
      <c r="Q22" s="89">
        <f t="shared" si="14"/>
        <v>3.601939150020057</v>
      </c>
      <c r="R22" s="89">
        <f t="shared" si="15"/>
        <v>0.010260466099453481</v>
      </c>
      <c r="S22" s="89">
        <f t="shared" si="16"/>
        <v>0.4039553582466363</v>
      </c>
      <c r="T22" s="89">
        <f t="shared" si="17"/>
        <v>0.079</v>
      </c>
      <c r="U22" s="89">
        <f t="shared" si="18"/>
        <v>0.0020066</v>
      </c>
      <c r="V22" s="89">
        <f t="shared" si="19"/>
        <v>1.5170446417533638</v>
      </c>
      <c r="W22" s="89">
        <f t="shared" si="20"/>
        <v>0.03853293390054652</v>
      </c>
      <c r="X22" s="89">
        <f t="shared" si="21"/>
        <v>1.9928330994132184</v>
      </c>
      <c r="Y22" s="35">
        <f t="shared" si="22"/>
        <v>1654.277499413986</v>
      </c>
      <c r="Z22" s="89">
        <f t="shared" si="23"/>
        <v>630.6485345587175</v>
      </c>
      <c r="AA22" s="35">
        <f t="shared" si="24"/>
        <v>1372.3863841999782</v>
      </c>
    </row>
    <row r="23" spans="1:27" s="89" customFormat="1" ht="12.75">
      <c r="A23" s="89">
        <v>0.2</v>
      </c>
      <c r="B23" s="89">
        <v>350</v>
      </c>
      <c r="C23" s="89">
        <f t="shared" si="0"/>
        <v>2413165.0526095</v>
      </c>
      <c r="D23" s="89">
        <f t="shared" si="1"/>
        <v>1171.797051059091</v>
      </c>
      <c r="E23" s="89">
        <f t="shared" si="2"/>
        <v>3844.478513969736</v>
      </c>
      <c r="F23" s="89">
        <f t="shared" si="3"/>
        <v>2.7350801623075666E-05</v>
      </c>
      <c r="G23" s="89">
        <f t="shared" si="4"/>
        <v>0.005901196675819796</v>
      </c>
      <c r="H23" s="89">
        <f t="shared" si="5"/>
        <v>0.042393827303525825</v>
      </c>
      <c r="I23" s="89">
        <f t="shared" si="6"/>
        <v>0.23233057778846575</v>
      </c>
      <c r="J23" s="35">
        <f t="shared" si="7"/>
        <v>2.6655983963712253</v>
      </c>
      <c r="K23" s="94">
        <f t="shared" si="8"/>
        <v>2300.8849557522126</v>
      </c>
      <c r="L23" s="94">
        <f t="shared" si="9"/>
        <v>4738.992635423236</v>
      </c>
      <c r="M23" s="89">
        <f t="shared" si="10"/>
        <v>0.0001036088196570673</v>
      </c>
      <c r="N23" s="89">
        <f t="shared" si="11"/>
        <v>0.011485592991687976</v>
      </c>
      <c r="O23" s="89">
        <f t="shared" si="12"/>
        <v>0.16059399165683136</v>
      </c>
      <c r="P23" s="89">
        <f t="shared" si="13"/>
        <v>0.45218870046071086</v>
      </c>
      <c r="Q23" s="89">
        <f t="shared" si="14"/>
        <v>3.7881456304247156</v>
      </c>
      <c r="R23" s="89">
        <f t="shared" si="15"/>
        <v>0.010420625390210252</v>
      </c>
      <c r="S23" s="89">
        <f t="shared" si="16"/>
        <v>0.410260842134705</v>
      </c>
      <c r="T23" s="89">
        <f t="shared" si="17"/>
        <v>0.079</v>
      </c>
      <c r="U23" s="89">
        <f t="shared" si="18"/>
        <v>0.0020066</v>
      </c>
      <c r="V23" s="89">
        <f t="shared" si="19"/>
        <v>1.5107391578652951</v>
      </c>
      <c r="W23" s="89">
        <f t="shared" si="20"/>
        <v>0.038372774609789745</v>
      </c>
      <c r="X23" s="89">
        <f t="shared" si="21"/>
        <v>1.9767818967261388</v>
      </c>
      <c r="Y23" s="35">
        <f t="shared" si="22"/>
        <v>1668.2512825789865</v>
      </c>
      <c r="Z23" s="89">
        <f t="shared" si="23"/>
        <v>625.8449453038526</v>
      </c>
      <c r="AA23" s="35">
        <f t="shared" si="24"/>
        <v>1351.5593359643772</v>
      </c>
    </row>
    <row r="24" spans="1:27" s="89" customFormat="1" ht="12.75">
      <c r="A24" s="89">
        <v>0.2</v>
      </c>
      <c r="B24" s="89">
        <v>375</v>
      </c>
      <c r="C24" s="89">
        <f t="shared" si="0"/>
        <v>2585533.98493875</v>
      </c>
      <c r="D24" s="89">
        <f t="shared" si="1"/>
        <v>1171.797051059091</v>
      </c>
      <c r="E24" s="89">
        <f t="shared" si="2"/>
        <v>3844.478513969736</v>
      </c>
      <c r="F24" s="89">
        <f t="shared" si="3"/>
        <v>2.5527414848203947E-05</v>
      </c>
      <c r="G24" s="89">
        <f t="shared" si="4"/>
        <v>0.00570109761884436</v>
      </c>
      <c r="H24" s="89">
        <f t="shared" si="5"/>
        <v>0.039567572149957424</v>
      </c>
      <c r="I24" s="89">
        <f t="shared" si="6"/>
        <v>0.2244526621595019</v>
      </c>
      <c r="J24" s="35">
        <f t="shared" si="7"/>
        <v>2.705104652336425</v>
      </c>
      <c r="K24" s="94">
        <f t="shared" si="8"/>
        <v>2300.8849557522126</v>
      </c>
      <c r="L24" s="94">
        <f t="shared" si="9"/>
        <v>5077.4921093820385</v>
      </c>
      <c r="M24" s="89">
        <f t="shared" si="10"/>
        <v>0.00010137151324789898</v>
      </c>
      <c r="N24" s="89">
        <f t="shared" si="11"/>
        <v>0.0113609075067474</v>
      </c>
      <c r="O24" s="89">
        <f t="shared" si="12"/>
        <v>0.1571261597869482</v>
      </c>
      <c r="P24" s="89">
        <f t="shared" si="13"/>
        <v>0.4472798231008396</v>
      </c>
      <c r="Q24" s="89">
        <f t="shared" si="14"/>
        <v>3.9710841795259677</v>
      </c>
      <c r="R24" s="89">
        <f t="shared" si="15"/>
        <v>0.010561349031417427</v>
      </c>
      <c r="S24" s="89">
        <f t="shared" si="16"/>
        <v>0.4158011429696391</v>
      </c>
      <c r="T24" s="89">
        <f t="shared" si="17"/>
        <v>0.079</v>
      </c>
      <c r="U24" s="89">
        <f t="shared" si="18"/>
        <v>0.0020066</v>
      </c>
      <c r="V24" s="89">
        <f t="shared" si="19"/>
        <v>1.505198857030361</v>
      </c>
      <c r="W24" s="89">
        <f t="shared" si="20"/>
        <v>0.03823205096858257</v>
      </c>
      <c r="X24" s="89">
        <f t="shared" si="21"/>
        <v>1.9625065927402938</v>
      </c>
      <c r="Y24" s="35">
        <f t="shared" si="22"/>
        <v>1680.9677313207437</v>
      </c>
      <c r="Z24" s="89">
        <f t="shared" si="23"/>
        <v>621.4058039746727</v>
      </c>
      <c r="AA24" s="35">
        <f t="shared" si="24"/>
        <v>1332.4540138492143</v>
      </c>
    </row>
    <row r="25" spans="1:27" s="89" customFormat="1" ht="12.75">
      <c r="A25" s="89">
        <v>0.2</v>
      </c>
      <c r="B25" s="89">
        <v>400</v>
      </c>
      <c r="C25" s="89">
        <f t="shared" si="0"/>
        <v>2757902.917268</v>
      </c>
      <c r="D25" s="89">
        <f t="shared" si="1"/>
        <v>1171.797051059091</v>
      </c>
      <c r="E25" s="89">
        <f t="shared" si="2"/>
        <v>3844.478513969736</v>
      </c>
      <c r="F25" s="89">
        <f t="shared" si="3"/>
        <v>2.3931951420191205E-05</v>
      </c>
      <c r="G25" s="89">
        <f t="shared" si="4"/>
        <v>0.005520064033221741</v>
      </c>
      <c r="H25" s="89">
        <f t="shared" si="5"/>
        <v>0.03709459889058509</v>
      </c>
      <c r="I25" s="89">
        <f t="shared" si="6"/>
        <v>0.21732535563891767</v>
      </c>
      <c r="J25" s="35">
        <f t="shared" si="7"/>
        <v>2.742047057692247</v>
      </c>
      <c r="K25" s="94">
        <f t="shared" si="8"/>
        <v>2300.8849557522126</v>
      </c>
      <c r="L25" s="94">
        <f t="shared" si="9"/>
        <v>5415.991583340841</v>
      </c>
      <c r="M25" s="89">
        <f t="shared" si="10"/>
        <v>9.934207905743627E-05</v>
      </c>
      <c r="N25" s="89">
        <f t="shared" si="11"/>
        <v>0.011246611201252345</v>
      </c>
      <c r="O25" s="89">
        <f t="shared" si="12"/>
        <v>0.15398053050046473</v>
      </c>
      <c r="P25" s="89">
        <f t="shared" si="13"/>
        <v>0.4427799685537847</v>
      </c>
      <c r="Q25" s="89">
        <f t="shared" si="14"/>
        <v>4.151022928018403</v>
      </c>
      <c r="R25" s="89">
        <f t="shared" si="15"/>
        <v>0.01068588249151494</v>
      </c>
      <c r="S25" s="89">
        <f t="shared" si="16"/>
        <v>0.4207040350994678</v>
      </c>
      <c r="T25" s="89">
        <f t="shared" si="17"/>
        <v>0.079</v>
      </c>
      <c r="U25" s="89">
        <f t="shared" si="18"/>
        <v>0.0020066</v>
      </c>
      <c r="V25" s="89">
        <f t="shared" si="19"/>
        <v>1.5002959649005323</v>
      </c>
      <c r="W25" s="89">
        <f t="shared" si="20"/>
        <v>0.03810751750848506</v>
      </c>
      <c r="X25" s="89">
        <f t="shared" si="21"/>
        <v>1.949717914037781</v>
      </c>
      <c r="Y25" s="35">
        <f t="shared" si="22"/>
        <v>1692.6156673476612</v>
      </c>
      <c r="Z25" s="89">
        <f t="shared" si="23"/>
        <v>617.2817722436154</v>
      </c>
      <c r="AA25" s="35">
        <f t="shared" si="24"/>
        <v>1314.8267299665642</v>
      </c>
    </row>
    <row r="26" spans="1:27" s="89" customFormat="1" ht="12.75">
      <c r="A26" s="89">
        <v>0.2</v>
      </c>
      <c r="B26" s="89">
        <v>450</v>
      </c>
      <c r="C26" s="89">
        <f t="shared" si="0"/>
        <v>3102640.7819264997</v>
      </c>
      <c r="D26" s="89">
        <f t="shared" si="1"/>
        <v>1171.797051059091</v>
      </c>
      <c r="E26" s="89">
        <f t="shared" si="2"/>
        <v>3844.478513969736</v>
      </c>
      <c r="F26" s="89">
        <f t="shared" si="3"/>
        <v>2.1272845706836628E-05</v>
      </c>
      <c r="G26" s="89">
        <f t="shared" si="4"/>
        <v>0.00520436628063341</v>
      </c>
      <c r="H26" s="89">
        <f t="shared" si="5"/>
        <v>0.03297297679163119</v>
      </c>
      <c r="I26" s="89">
        <f t="shared" si="6"/>
        <v>0.20489631026140903</v>
      </c>
      <c r="J26" s="35">
        <f t="shared" si="7"/>
        <v>2.809457112038132</v>
      </c>
      <c r="K26" s="94">
        <f t="shared" si="8"/>
        <v>2300.8849557522126</v>
      </c>
      <c r="L26" s="94">
        <f t="shared" si="9"/>
        <v>6092.990531258445</v>
      </c>
      <c r="M26" s="89">
        <f t="shared" si="10"/>
        <v>9.578733721806555E-05</v>
      </c>
      <c r="N26" s="89">
        <f t="shared" si="11"/>
        <v>0.01104356036932489</v>
      </c>
      <c r="O26" s="89">
        <f t="shared" si="12"/>
        <v>0.14847066962970484</v>
      </c>
      <c r="P26" s="89">
        <f t="shared" si="13"/>
        <v>0.4347858413125365</v>
      </c>
      <c r="Q26" s="89">
        <f t="shared" si="14"/>
        <v>4.502798475489416</v>
      </c>
      <c r="R26" s="89">
        <f t="shared" si="15"/>
        <v>0.010896084507126225</v>
      </c>
      <c r="S26" s="89">
        <f t="shared" si="16"/>
        <v>0.4289797050054328</v>
      </c>
      <c r="T26" s="89">
        <f t="shared" si="17"/>
        <v>0.079</v>
      </c>
      <c r="U26" s="89">
        <f t="shared" si="18"/>
        <v>0.0020066</v>
      </c>
      <c r="V26" s="89">
        <f t="shared" si="19"/>
        <v>1.4920202949945673</v>
      </c>
      <c r="W26" s="89">
        <f t="shared" si="20"/>
        <v>0.03789731549287378</v>
      </c>
      <c r="X26" s="89">
        <f t="shared" si="21"/>
        <v>1.9277329481644054</v>
      </c>
      <c r="Y26" s="35">
        <f t="shared" si="22"/>
        <v>1713.2794997690166</v>
      </c>
      <c r="Z26" s="89">
        <f t="shared" si="23"/>
        <v>609.8258245081773</v>
      </c>
      <c r="AA26" s="35">
        <f t="shared" si="24"/>
        <v>1283.2558186237675</v>
      </c>
    </row>
    <row r="27" spans="1:37" s="86" customFormat="1" ht="12.75">
      <c r="A27" s="91">
        <v>0.3</v>
      </c>
      <c r="B27" s="91">
        <v>300</v>
      </c>
      <c r="C27" s="91">
        <f t="shared" si="0"/>
        <v>2068427.187951</v>
      </c>
      <c r="D27" s="91">
        <f t="shared" si="1"/>
        <v>1171.797051059091</v>
      </c>
      <c r="E27" s="91">
        <f t="shared" si="2"/>
        <v>3844.478513969736</v>
      </c>
      <c r="F27" s="91">
        <f t="shared" si="3"/>
        <v>4.786390284038241E-05</v>
      </c>
      <c r="G27" s="91">
        <f t="shared" si="4"/>
        <v>0.0078065494209501145</v>
      </c>
      <c r="H27" s="91">
        <f t="shared" si="5"/>
        <v>0.07418919778117018</v>
      </c>
      <c r="I27" s="91">
        <f t="shared" si="6"/>
        <v>0.3073444653921135</v>
      </c>
      <c r="J27" s="92">
        <f t="shared" si="7"/>
        <v>2.577231736451192</v>
      </c>
      <c r="K27" s="93">
        <f t="shared" si="8"/>
        <v>2300.8849557522126</v>
      </c>
      <c r="L27" s="93">
        <f t="shared" si="9"/>
        <v>4061.9936875056305</v>
      </c>
      <c r="M27" s="91">
        <f t="shared" si="10"/>
        <v>0.0001633188982097117</v>
      </c>
      <c r="N27" s="91">
        <f t="shared" si="11"/>
        <v>0.014420266280592106</v>
      </c>
      <c r="O27" s="91">
        <f t="shared" si="12"/>
        <v>0.2531447985152708</v>
      </c>
      <c r="P27" s="91">
        <f t="shared" si="13"/>
        <v>0.567727018921645</v>
      </c>
      <c r="Q27" s="91">
        <f t="shared" si="14"/>
        <v>3.412151715967483</v>
      </c>
      <c r="R27" s="91">
        <f t="shared" si="15"/>
        <v>0.012341363673529398</v>
      </c>
      <c r="S27" s="91">
        <f t="shared" si="16"/>
        <v>0.48588045958829634</v>
      </c>
      <c r="T27" s="91">
        <f t="shared" si="17"/>
        <v>0.079</v>
      </c>
      <c r="U27" s="91">
        <f t="shared" si="18"/>
        <v>0.0020066</v>
      </c>
      <c r="V27" s="91">
        <f t="shared" si="19"/>
        <v>1.4351195404117036</v>
      </c>
      <c r="W27" s="91">
        <f t="shared" si="20"/>
        <v>0.0364520363264706</v>
      </c>
      <c r="X27" s="91">
        <f t="shared" si="21"/>
        <v>1.9644777713440917</v>
      </c>
      <c r="Y27" s="92">
        <f t="shared" si="22"/>
        <v>1638.805557639407</v>
      </c>
      <c r="Z27" s="91">
        <f t="shared" si="23"/>
        <v>635.8782310728552</v>
      </c>
      <c r="AA27" s="92">
        <f t="shared" si="24"/>
        <v>1395.2419763714313</v>
      </c>
      <c r="AB27" s="89"/>
      <c r="AC27" s="89"/>
      <c r="AD27" s="89"/>
      <c r="AE27" s="89"/>
      <c r="AF27" s="89"/>
      <c r="AG27" s="89"/>
      <c r="AH27" s="89"/>
      <c r="AI27" s="89"/>
      <c r="AJ27" s="89"/>
      <c r="AK27" s="89"/>
    </row>
    <row r="28" spans="1:37" s="86" customFormat="1" ht="12.75">
      <c r="A28" s="91">
        <v>0.3</v>
      </c>
      <c r="B28" s="91">
        <v>325</v>
      </c>
      <c r="C28" s="91">
        <f t="shared" si="0"/>
        <v>2240796.12028025</v>
      </c>
      <c r="D28" s="91">
        <f t="shared" si="1"/>
        <v>1171.797051059091</v>
      </c>
      <c r="E28" s="91">
        <f t="shared" si="2"/>
        <v>3844.478513969736</v>
      </c>
      <c r="F28" s="91">
        <f t="shared" si="3"/>
        <v>4.4182064160352986E-05</v>
      </c>
      <c r="G28" s="91">
        <f t="shared" si="4"/>
        <v>0.007500290078189482</v>
      </c>
      <c r="H28" s="91">
        <f t="shared" si="5"/>
        <v>0.06848233641338784</v>
      </c>
      <c r="I28" s="91">
        <f t="shared" si="6"/>
        <v>0.29528701095270377</v>
      </c>
      <c r="J28" s="92">
        <f t="shared" si="7"/>
        <v>2.623136991147582</v>
      </c>
      <c r="K28" s="93">
        <f t="shared" si="8"/>
        <v>2300.8849557522126</v>
      </c>
      <c r="L28" s="93">
        <f t="shared" si="9"/>
        <v>4400.493161464433</v>
      </c>
      <c r="M28" s="91">
        <f t="shared" si="10"/>
        <v>0.00015914110662787345</v>
      </c>
      <c r="N28" s="91">
        <f t="shared" si="11"/>
        <v>0.014234632069411685</v>
      </c>
      <c r="O28" s="91">
        <f t="shared" si="12"/>
        <v>0.24666920861222583</v>
      </c>
      <c r="P28" s="91">
        <f t="shared" si="13"/>
        <v>0.5604185854105959</v>
      </c>
      <c r="Q28" s="91">
        <f t="shared" si="14"/>
        <v>3.601939150020057</v>
      </c>
      <c r="R28" s="91">
        <f t="shared" si="15"/>
        <v>0.012566453233392913</v>
      </c>
      <c r="S28" s="91">
        <f t="shared" si="16"/>
        <v>0.49474225328371985</v>
      </c>
      <c r="T28" s="91">
        <f t="shared" si="17"/>
        <v>0.079</v>
      </c>
      <c r="U28" s="91">
        <f t="shared" si="18"/>
        <v>0.0020066</v>
      </c>
      <c r="V28" s="91">
        <f t="shared" si="19"/>
        <v>1.4262577467162803</v>
      </c>
      <c r="W28" s="91">
        <f t="shared" si="20"/>
        <v>0.036226946766607086</v>
      </c>
      <c r="X28" s="91">
        <f t="shared" si="21"/>
        <v>1.9421875989535706</v>
      </c>
      <c r="Y28" s="92">
        <f t="shared" si="22"/>
        <v>1654.277499413986</v>
      </c>
      <c r="Z28" s="91">
        <f t="shared" si="23"/>
        <v>630.6485345587175</v>
      </c>
      <c r="AA28" s="92">
        <f t="shared" si="24"/>
        <v>1372.3863841999782</v>
      </c>
      <c r="AB28" s="89"/>
      <c r="AC28" s="89"/>
      <c r="AD28" s="89"/>
      <c r="AE28" s="89"/>
      <c r="AF28" s="89"/>
      <c r="AG28" s="89"/>
      <c r="AH28" s="89"/>
      <c r="AI28" s="89"/>
      <c r="AJ28" s="89"/>
      <c r="AK28" s="89"/>
    </row>
    <row r="29" spans="1:37" s="86" customFormat="1" ht="12.75">
      <c r="A29" s="91">
        <v>0.3</v>
      </c>
      <c r="B29" s="91">
        <v>350</v>
      </c>
      <c r="C29" s="91">
        <f t="shared" si="0"/>
        <v>2413165.0526095</v>
      </c>
      <c r="D29" s="91">
        <f t="shared" si="1"/>
        <v>1171.797051059091</v>
      </c>
      <c r="E29" s="91">
        <f t="shared" si="2"/>
        <v>3844.478513969736</v>
      </c>
      <c r="F29" s="91">
        <f t="shared" si="3"/>
        <v>4.1026202434613495E-05</v>
      </c>
      <c r="G29" s="91">
        <f t="shared" si="4"/>
        <v>0.007227460363783389</v>
      </c>
      <c r="H29" s="91">
        <f t="shared" si="5"/>
        <v>0.06359074095528873</v>
      </c>
      <c r="I29" s="91">
        <f t="shared" si="6"/>
        <v>0.28454568361386806</v>
      </c>
      <c r="J29" s="92">
        <f t="shared" si="7"/>
        <v>2.6655983963712253</v>
      </c>
      <c r="K29" s="93">
        <f t="shared" si="8"/>
        <v>2300.8849557522126</v>
      </c>
      <c r="L29" s="93">
        <f t="shared" si="9"/>
        <v>4738.992635423236</v>
      </c>
      <c r="M29" s="91">
        <f t="shared" si="10"/>
        <v>0.00015541322948560096</v>
      </c>
      <c r="N29" s="91">
        <f t="shared" si="11"/>
        <v>0.014066921111461027</v>
      </c>
      <c r="O29" s="91">
        <f t="shared" si="12"/>
        <v>0.24089098748524704</v>
      </c>
      <c r="P29" s="91">
        <f t="shared" si="13"/>
        <v>0.5538157917904831</v>
      </c>
      <c r="Q29" s="91">
        <f t="shared" si="14"/>
        <v>3.788145630424716</v>
      </c>
      <c r="R29" s="91">
        <f t="shared" si="15"/>
        <v>0.012762607503352985</v>
      </c>
      <c r="S29" s="91">
        <f t="shared" si="16"/>
        <v>0.5024648623372744</v>
      </c>
      <c r="T29" s="91">
        <f t="shared" si="17"/>
        <v>0.079</v>
      </c>
      <c r="U29" s="91">
        <f t="shared" si="18"/>
        <v>0.0020066</v>
      </c>
      <c r="V29" s="91">
        <f t="shared" si="19"/>
        <v>1.4185351376627258</v>
      </c>
      <c r="W29" s="91">
        <f t="shared" si="20"/>
        <v>0.036030792496647014</v>
      </c>
      <c r="X29" s="91">
        <f t="shared" si="21"/>
        <v>1.922528970782903</v>
      </c>
      <c r="Y29" s="92">
        <f t="shared" si="22"/>
        <v>1668.2512825789865</v>
      </c>
      <c r="Z29" s="91">
        <f t="shared" si="23"/>
        <v>625.8449453038526</v>
      </c>
      <c r="AA29" s="92">
        <f t="shared" si="24"/>
        <v>1351.5593359643772</v>
      </c>
      <c r="AB29" s="89"/>
      <c r="AC29" s="89"/>
      <c r="AD29" s="89"/>
      <c r="AE29" s="89"/>
      <c r="AF29" s="89"/>
      <c r="AG29" s="89"/>
      <c r="AH29" s="89"/>
      <c r="AI29" s="89"/>
      <c r="AJ29" s="89"/>
      <c r="AK29" s="89"/>
    </row>
    <row r="30" spans="1:27" s="89" customFormat="1" ht="12.75">
      <c r="A30" s="91">
        <v>0.3</v>
      </c>
      <c r="B30" s="91">
        <v>375</v>
      </c>
      <c r="C30" s="91">
        <f t="shared" si="0"/>
        <v>2585533.98493875</v>
      </c>
      <c r="D30" s="91">
        <f t="shared" si="1"/>
        <v>1171.797051059091</v>
      </c>
      <c r="E30" s="91">
        <f t="shared" si="2"/>
        <v>3844.478513969736</v>
      </c>
      <c r="F30" s="91">
        <f t="shared" si="3"/>
        <v>3.829112227230592E-05</v>
      </c>
      <c r="G30" s="91">
        <f t="shared" si="4"/>
        <v>0.006982390069982429</v>
      </c>
      <c r="H30" s="91">
        <f t="shared" si="5"/>
        <v>0.059351358224936125</v>
      </c>
      <c r="I30" s="91">
        <f t="shared" si="6"/>
        <v>0.2748972468500389</v>
      </c>
      <c r="J30" s="92">
        <f t="shared" si="7"/>
        <v>2.705104652336425</v>
      </c>
      <c r="K30" s="93">
        <f t="shared" si="8"/>
        <v>2300.8849557522126</v>
      </c>
      <c r="L30" s="93">
        <f t="shared" si="9"/>
        <v>5077.4921093820385</v>
      </c>
      <c r="M30" s="91">
        <f t="shared" si="10"/>
        <v>0.00015205726987184846</v>
      </c>
      <c r="N30" s="91">
        <f t="shared" si="11"/>
        <v>0.013914213203243082</v>
      </c>
      <c r="O30" s="91">
        <f t="shared" si="12"/>
        <v>0.2356892396804223</v>
      </c>
      <c r="P30" s="91">
        <f t="shared" si="13"/>
        <v>0.5478036694196905</v>
      </c>
      <c r="Q30" s="91">
        <f t="shared" si="14"/>
        <v>3.9710841795259677</v>
      </c>
      <c r="R30" s="91">
        <f t="shared" si="15"/>
        <v>0.012934958061205022</v>
      </c>
      <c r="S30" s="91">
        <f t="shared" si="16"/>
        <v>0.5092503173708265</v>
      </c>
      <c r="T30" s="91">
        <f t="shared" si="17"/>
        <v>0.079</v>
      </c>
      <c r="U30" s="91">
        <f t="shared" si="18"/>
        <v>0.0020066</v>
      </c>
      <c r="V30" s="91">
        <f t="shared" si="19"/>
        <v>1.4117496826291736</v>
      </c>
      <c r="W30" s="91">
        <f t="shared" si="20"/>
        <v>0.03585844193879498</v>
      </c>
      <c r="X30" s="91">
        <f t="shared" si="21"/>
        <v>1.9050453654386832</v>
      </c>
      <c r="Y30" s="92">
        <f t="shared" si="22"/>
        <v>1680.9677313207437</v>
      </c>
      <c r="Z30" s="91">
        <f t="shared" si="23"/>
        <v>621.4058039746727</v>
      </c>
      <c r="AA30" s="92">
        <f t="shared" si="24"/>
        <v>1332.4540138492143</v>
      </c>
    </row>
    <row r="31" spans="1:27" s="89" customFormat="1" ht="12.75">
      <c r="A31" s="91">
        <v>0.3</v>
      </c>
      <c r="B31" s="91">
        <v>400</v>
      </c>
      <c r="C31" s="91">
        <f t="shared" si="0"/>
        <v>2757902.917268</v>
      </c>
      <c r="D31" s="91">
        <f t="shared" si="1"/>
        <v>1171.797051059091</v>
      </c>
      <c r="E31" s="91">
        <f t="shared" si="2"/>
        <v>3844.478513969736</v>
      </c>
      <c r="F31" s="91">
        <f t="shared" si="3"/>
        <v>3.58979271302868E-05</v>
      </c>
      <c r="G31" s="91">
        <f t="shared" si="4"/>
        <v>0.006760670114441498</v>
      </c>
      <c r="H31" s="91">
        <f t="shared" si="5"/>
        <v>0.055641898335877626</v>
      </c>
      <c r="I31" s="91">
        <f t="shared" si="6"/>
        <v>0.26616811474211755</v>
      </c>
      <c r="J31" s="92">
        <f t="shared" si="7"/>
        <v>2.742047057692247</v>
      </c>
      <c r="K31" s="93">
        <f t="shared" si="8"/>
        <v>2300.8849557522126</v>
      </c>
      <c r="L31" s="93">
        <f t="shared" si="9"/>
        <v>5415.991583340841</v>
      </c>
      <c r="M31" s="91">
        <f t="shared" si="10"/>
        <v>0.00014901311858615438</v>
      </c>
      <c r="N31" s="91">
        <f t="shared" si="11"/>
        <v>0.013774229389269007</v>
      </c>
      <c r="O31" s="91">
        <f t="shared" si="12"/>
        <v>0.23097079575069704</v>
      </c>
      <c r="P31" s="91">
        <f t="shared" si="13"/>
        <v>0.5422924956411768</v>
      </c>
      <c r="Q31" s="91">
        <f t="shared" si="14"/>
        <v>4.151022928018403</v>
      </c>
      <c r="R31" s="91">
        <f t="shared" si="15"/>
        <v>0.013087479777776098</v>
      </c>
      <c r="S31" s="91">
        <f t="shared" si="16"/>
        <v>0.5152551093618202</v>
      </c>
      <c r="T31" s="91">
        <f t="shared" si="17"/>
        <v>0.079</v>
      </c>
      <c r="U31" s="91">
        <f t="shared" si="18"/>
        <v>0.0020066</v>
      </c>
      <c r="V31" s="91">
        <f t="shared" si="19"/>
        <v>1.4057448906381798</v>
      </c>
      <c r="W31" s="91">
        <f t="shared" si="20"/>
        <v>0.0357059202222239</v>
      </c>
      <c r="X31" s="91">
        <f t="shared" si="21"/>
        <v>1.8893824967859056</v>
      </c>
      <c r="Y31" s="92">
        <f t="shared" si="22"/>
        <v>1692.6156673476612</v>
      </c>
      <c r="Z31" s="91">
        <f t="shared" si="23"/>
        <v>617.2817722436154</v>
      </c>
      <c r="AA31" s="92">
        <f t="shared" si="24"/>
        <v>1314.8267299665642</v>
      </c>
    </row>
    <row r="32" spans="1:27" s="89" customFormat="1" ht="12.75">
      <c r="A32" s="91">
        <v>0.3</v>
      </c>
      <c r="B32" s="91">
        <v>450</v>
      </c>
      <c r="C32" s="91">
        <f t="shared" si="0"/>
        <v>3102640.7819264997</v>
      </c>
      <c r="D32" s="91">
        <f t="shared" si="1"/>
        <v>1171.797051059091</v>
      </c>
      <c r="E32" s="91">
        <f t="shared" si="2"/>
        <v>3844.478513969736</v>
      </c>
      <c r="F32" s="91">
        <f t="shared" si="3"/>
        <v>3.190926856025494E-05</v>
      </c>
      <c r="G32" s="91">
        <f t="shared" si="4"/>
        <v>0.006374020911049088</v>
      </c>
      <c r="H32" s="91">
        <f t="shared" si="5"/>
        <v>0.04945946518744679</v>
      </c>
      <c r="I32" s="91">
        <f t="shared" si="6"/>
        <v>0.25094570515972053</v>
      </c>
      <c r="J32" s="92">
        <f t="shared" si="7"/>
        <v>2.809457112038132</v>
      </c>
      <c r="K32" s="93">
        <f t="shared" si="8"/>
        <v>2300.8849557522126</v>
      </c>
      <c r="L32" s="93">
        <f t="shared" si="9"/>
        <v>6092.990531258445</v>
      </c>
      <c r="M32" s="91">
        <f t="shared" si="10"/>
        <v>0.00014368100582709832</v>
      </c>
      <c r="N32" s="91">
        <f t="shared" si="11"/>
        <v>0.013525543924234062</v>
      </c>
      <c r="O32" s="91">
        <f t="shared" si="12"/>
        <v>0.22270600444455727</v>
      </c>
      <c r="P32" s="91">
        <f t="shared" si="13"/>
        <v>0.5325017293012063</v>
      </c>
      <c r="Q32" s="91">
        <f t="shared" si="14"/>
        <v>4.502798475489416</v>
      </c>
      <c r="R32" s="91">
        <f t="shared" si="15"/>
        <v>0.013344923618352197</v>
      </c>
      <c r="S32" s="91">
        <f t="shared" si="16"/>
        <v>0.5253906936364807</v>
      </c>
      <c r="T32" s="91">
        <f t="shared" si="17"/>
        <v>0.079</v>
      </c>
      <c r="U32" s="91">
        <f t="shared" si="18"/>
        <v>0.0020066</v>
      </c>
      <c r="V32" s="91">
        <f t="shared" si="19"/>
        <v>1.3956093063635193</v>
      </c>
      <c r="W32" s="91">
        <f t="shared" si="20"/>
        <v>0.0354484763816478</v>
      </c>
      <c r="X32" s="91">
        <f t="shared" si="21"/>
        <v>1.86245652258477</v>
      </c>
      <c r="Y32" s="92">
        <f t="shared" si="22"/>
        <v>1713.2794997690166</v>
      </c>
      <c r="Z32" s="91">
        <f t="shared" si="23"/>
        <v>609.8258245081773</v>
      </c>
      <c r="AA32" s="92">
        <f t="shared" si="24"/>
        <v>1283.2558186237675</v>
      </c>
    </row>
    <row r="33" spans="10:37" ht="12.75">
      <c r="J33" s="5"/>
      <c r="AB33" s="89"/>
      <c r="AC33" s="89"/>
      <c r="AD33" s="89"/>
      <c r="AE33" s="89"/>
      <c r="AF33" s="89"/>
      <c r="AG33" s="89"/>
      <c r="AH33" s="89"/>
      <c r="AI33" s="89"/>
      <c r="AJ33" s="89"/>
      <c r="AK33" s="89"/>
    </row>
    <row r="34" spans="10:37" ht="12.75">
      <c r="J34" s="5"/>
      <c r="AB34" s="89"/>
      <c r="AC34" s="89"/>
      <c r="AD34" s="89"/>
      <c r="AE34" s="89"/>
      <c r="AF34" s="89"/>
      <c r="AG34" s="89"/>
      <c r="AH34" s="89"/>
      <c r="AI34" s="89"/>
      <c r="AJ34" s="89"/>
      <c r="AK34" s="89"/>
    </row>
    <row r="35" spans="28:37" ht="12.75">
      <c r="AB35" s="89"/>
      <c r="AC35" s="89"/>
      <c r="AD35" s="89"/>
      <c r="AE35" s="89"/>
      <c r="AF35" s="89"/>
      <c r="AG35" s="89"/>
      <c r="AH35" s="89"/>
      <c r="AI35" s="89"/>
      <c r="AJ35" s="89"/>
      <c r="AK35" s="89"/>
    </row>
    <row r="38" spans="2:21" ht="12.75">
      <c r="B38" s="36"/>
      <c r="C38" s="36"/>
      <c r="F38" s="81" t="s">
        <v>265</v>
      </c>
      <c r="G38" s="81"/>
      <c r="H38" s="81"/>
      <c r="M38" s="71"/>
      <c r="N38" s="131" t="s">
        <v>205</v>
      </c>
      <c r="O38" s="130">
        <v>0.079</v>
      </c>
      <c r="P38" t="s">
        <v>72</v>
      </c>
      <c r="Q38" s="124"/>
      <c r="R38" s="126"/>
      <c r="S38" s="125" t="s">
        <v>271</v>
      </c>
      <c r="T38" s="127">
        <f>90-$O$8</f>
        <v>60</v>
      </c>
      <c r="U38" t="s">
        <v>260</v>
      </c>
    </row>
    <row r="39" spans="17:21" ht="12.75">
      <c r="Q39" s="122"/>
      <c r="R39" s="128"/>
      <c r="S39" s="128"/>
      <c r="T39" s="129">
        <f>T38*(PI()/180)</f>
        <v>1.0471975511965976</v>
      </c>
      <c r="U39" t="s">
        <v>261</v>
      </c>
    </row>
    <row r="40" spans="1:27" ht="12.75">
      <c r="A40" s="95" t="s">
        <v>10</v>
      </c>
      <c r="H40" s="95" t="s">
        <v>13</v>
      </c>
      <c r="I40" s="132" t="s">
        <v>203</v>
      </c>
      <c r="J40" s="126">
        <v>0.035</v>
      </c>
      <c r="K40" s="133" t="s">
        <v>255</v>
      </c>
      <c r="M40" s="124"/>
      <c r="N40" s="125" t="s">
        <v>259</v>
      </c>
      <c r="O40" s="127">
        <v>15</v>
      </c>
      <c r="P40" t="s">
        <v>260</v>
      </c>
      <c r="Z40" s="24" t="s">
        <v>230</v>
      </c>
      <c r="AA40">
        <v>0.25</v>
      </c>
    </row>
    <row r="41" spans="3:27" ht="12.75">
      <c r="C41" s="24" t="s">
        <v>11</v>
      </c>
      <c r="D41" s="20">
        <v>5000</v>
      </c>
      <c r="E41" t="s">
        <v>187</v>
      </c>
      <c r="I41" s="134" t="s">
        <v>204</v>
      </c>
      <c r="J41" s="128">
        <v>50</v>
      </c>
      <c r="K41" s="129" t="s">
        <v>179</v>
      </c>
      <c r="M41" s="122"/>
      <c r="N41" s="128"/>
      <c r="O41" s="129">
        <f>O40*(PI()/180)</f>
        <v>0.2617993877991494</v>
      </c>
      <c r="P41" t="s">
        <v>261</v>
      </c>
      <c r="R41" s="124"/>
      <c r="S41" s="125" t="s">
        <v>242</v>
      </c>
      <c r="T41" s="127">
        <v>0.03</v>
      </c>
      <c r="U41" t="s">
        <v>173</v>
      </c>
      <c r="Z41" s="24" t="s">
        <v>229</v>
      </c>
      <c r="AA41">
        <f>J45-2*AA40</f>
        <v>4.181102362204725</v>
      </c>
    </row>
    <row r="42" spans="3:21" ht="12.75">
      <c r="C42" s="24" t="s">
        <v>12</v>
      </c>
      <c r="D42">
        <v>1.26</v>
      </c>
      <c r="I42" s="84" t="s">
        <v>312</v>
      </c>
      <c r="J42" s="12">
        <v>8314.4</v>
      </c>
      <c r="K42" s="5" t="s">
        <v>286</v>
      </c>
      <c r="R42" s="122"/>
      <c r="S42" s="128"/>
      <c r="T42" s="129">
        <f>T41/0.0254</f>
        <v>1.1811023622047243</v>
      </c>
      <c r="U42" t="s">
        <v>72</v>
      </c>
    </row>
    <row r="43" spans="3:16" ht="12.75">
      <c r="C43" s="84" t="s">
        <v>279</v>
      </c>
      <c r="D43" s="88">
        <f>36.1495652174</f>
        <v>36.1495652174</v>
      </c>
      <c r="E43" s="5" t="s">
        <v>285</v>
      </c>
      <c r="I43" s="84" t="s">
        <v>247</v>
      </c>
      <c r="J43" s="12">
        <v>101.3</v>
      </c>
      <c r="K43" s="5" t="s">
        <v>283</v>
      </c>
      <c r="M43" s="124"/>
      <c r="N43" s="125" t="s">
        <v>215</v>
      </c>
      <c r="O43" s="127">
        <v>30</v>
      </c>
      <c r="P43" t="s">
        <v>260</v>
      </c>
    </row>
    <row r="44" spans="3:21" ht="12.75">
      <c r="C44" s="87" t="s">
        <v>88</v>
      </c>
      <c r="D44">
        <f>J42/D43</f>
        <v>229.99999999994463</v>
      </c>
      <c r="E44" s="5" t="s">
        <v>284</v>
      </c>
      <c r="I44" s="24" t="s">
        <v>246</v>
      </c>
      <c r="J44">
        <v>1</v>
      </c>
      <c r="M44" s="122"/>
      <c r="N44" s="128"/>
      <c r="O44" s="129">
        <f>O43*(PI()/180)</f>
        <v>0.5235987755982988</v>
      </c>
      <c r="P44" t="s">
        <v>261</v>
      </c>
      <c r="R44" s="124"/>
      <c r="S44" s="125" t="s">
        <v>202</v>
      </c>
      <c r="T44" s="127">
        <f>T45*0.0254</f>
        <v>0.1189</v>
      </c>
      <c r="U44" t="s">
        <v>173</v>
      </c>
    </row>
    <row r="45" spans="3:21" ht="14.25">
      <c r="C45" s="24" t="s">
        <v>309</v>
      </c>
      <c r="D45">
        <v>32.174</v>
      </c>
      <c r="E45" t="s">
        <v>134</v>
      </c>
      <c r="I45" s="24" t="s">
        <v>80</v>
      </c>
      <c r="J45">
        <f>((J40*J41)+(T7/2))*2</f>
        <v>4.681102362204725</v>
      </c>
      <c r="K45" t="s">
        <v>72</v>
      </c>
      <c r="R45" s="122"/>
      <c r="S45" s="128"/>
      <c r="T45" s="129">
        <f>J45</f>
        <v>4.681102362204725</v>
      </c>
      <c r="U45" t="s">
        <v>72</v>
      </c>
    </row>
    <row r="46" spans="3:16" ht="14.25">
      <c r="C46" s="24" t="s">
        <v>309</v>
      </c>
      <c r="D46">
        <v>0.99999849082</v>
      </c>
      <c r="E46" t="s">
        <v>135</v>
      </c>
      <c r="I46" s="24" t="s">
        <v>80</v>
      </c>
      <c r="J46">
        <f>J45*0.0254</f>
        <v>0.1189</v>
      </c>
      <c r="K46" t="s">
        <v>173</v>
      </c>
      <c r="M46" s="124"/>
      <c r="N46" s="125" t="s">
        <v>216</v>
      </c>
      <c r="O46" s="127">
        <v>4.125</v>
      </c>
      <c r="P46" t="s">
        <v>72</v>
      </c>
    </row>
    <row r="47" spans="13:16" ht="12.75">
      <c r="M47" s="122"/>
      <c r="N47" s="128"/>
      <c r="O47" s="129">
        <f>O46*0.0254</f>
        <v>0.104775</v>
      </c>
      <c r="P47" t="s">
        <v>173</v>
      </c>
    </row>
    <row r="49" spans="11:12" ht="12.75">
      <c r="K49" s="90" t="s">
        <v>194</v>
      </c>
      <c r="L49" s="90"/>
    </row>
    <row r="50" spans="1:27" ht="38.25">
      <c r="A50" s="78" t="s">
        <v>8</v>
      </c>
      <c r="B50" s="78" t="s">
        <v>9</v>
      </c>
      <c r="C50" s="78" t="s">
        <v>17</v>
      </c>
      <c r="D50" s="25" t="s">
        <v>14</v>
      </c>
      <c r="E50" s="25" t="s">
        <v>15</v>
      </c>
      <c r="F50" t="s">
        <v>16</v>
      </c>
      <c r="G50" t="s">
        <v>18</v>
      </c>
      <c r="H50" t="s">
        <v>243</v>
      </c>
      <c r="I50" t="s">
        <v>244</v>
      </c>
      <c r="J50" t="s">
        <v>245</v>
      </c>
      <c r="K50" s="90" t="s">
        <v>248</v>
      </c>
      <c r="L50" s="90" t="s">
        <v>193</v>
      </c>
      <c r="M50" t="s">
        <v>75</v>
      </c>
      <c r="N50" t="s">
        <v>76</v>
      </c>
      <c r="O50" t="s">
        <v>77</v>
      </c>
      <c r="P50" t="s">
        <v>78</v>
      </c>
      <c r="Q50" t="s">
        <v>79</v>
      </c>
      <c r="R50" t="s">
        <v>81</v>
      </c>
      <c r="S50" t="s">
        <v>82</v>
      </c>
      <c r="T50" s="78" t="s">
        <v>213</v>
      </c>
      <c r="U50" s="78" t="s">
        <v>214</v>
      </c>
      <c r="V50" t="s">
        <v>217</v>
      </c>
      <c r="W50" t="s">
        <v>218</v>
      </c>
      <c r="X50" t="s">
        <v>206</v>
      </c>
      <c r="Y50" t="s">
        <v>311</v>
      </c>
      <c r="Z50" t="s">
        <v>148</v>
      </c>
      <c r="AA50" t="s">
        <v>153</v>
      </c>
    </row>
    <row r="51" spans="1:27" ht="12.75">
      <c r="A51" s="91">
        <v>0.14</v>
      </c>
      <c r="B51" s="91">
        <v>263.68</v>
      </c>
      <c r="C51" s="91">
        <f aca="true" t="shared" si="25" ref="C51:C68">B51*6894.75729317</f>
        <v>1818009.6030630656</v>
      </c>
      <c r="D51" s="91">
        <f aca="true" t="shared" si="26" ref="D51:D68">(SQRT($D$42*$D$44*$D$41))/($D$42*SQRT((2/($D$42+1))^(($D$42+1)/($D$42-1))))</f>
        <v>1624.9901353965565</v>
      </c>
      <c r="E51" s="91">
        <f aca="true" t="shared" si="27" ref="E51:E68">D51*3.28083989501</f>
        <v>5331.332465206725</v>
      </c>
      <c r="F51" s="91">
        <f aca="true" t="shared" si="28" ref="F51:F68">(A51/(L51*10^3))*(($J$42*K51)/($D$43*$D$42))^(0.5)</f>
        <v>3.524173507350917E-05</v>
      </c>
      <c r="G51" s="91">
        <f aca="true" t="shared" si="29" ref="G51:G68">SQRT(F51*4/PI())</f>
        <v>0.006698594682519016</v>
      </c>
      <c r="H51" s="91">
        <f aca="true" t="shared" si="30" ref="H51:H68">F51*1550.00310001</f>
        <v>0.05462479861367037</v>
      </c>
      <c r="I51" s="91">
        <f aca="true" t="shared" si="31" ref="I51:I68">SQRT(H51*4/PI())</f>
        <v>0.26372420009949715</v>
      </c>
      <c r="J51" s="92">
        <f aca="true" t="shared" si="32" ref="J51:J68">SQRT((2/($D$42-1))*(((C51/1000)/$J$43)^(($D$42-1)/$D$42)-1))</f>
        <v>2.50308911365569</v>
      </c>
      <c r="K51" s="93">
        <f aca="true" t="shared" si="33" ref="K51:K68">$D$41*(1/(1+($D$42-1)/2))</f>
        <v>4424.778761061947</v>
      </c>
      <c r="L51" s="93">
        <f aca="true" t="shared" si="34" ref="L51:L68">(C51/1000)*(1-($D$42-1)/2)^(-$D$42/($D$42-1))</f>
        <v>3570.221651738282</v>
      </c>
      <c r="M51" s="91">
        <f aca="true" t="shared" si="35" ref="M51:M68">(F51/J51)*((1+(($D$42-1)/2)*J51^2)/(($D$42+1)/2))^(($D$42+1)/(2*($D$42-1)))</f>
        <v>0.0001102810859378461</v>
      </c>
      <c r="N51" s="91">
        <f aca="true" t="shared" si="36" ref="N51:N68">SQRT(M51*4/PI())</f>
        <v>0.011849651457000857</v>
      </c>
      <c r="O51" s="91">
        <f aca="true" t="shared" si="37" ref="O51:O68">M51*1550.00310001</f>
        <v>0.17093602507613068</v>
      </c>
      <c r="P51" s="91">
        <f aca="true" t="shared" si="38" ref="P51:P68">SQRT(O51*4/PI())</f>
        <v>0.46652171090611744</v>
      </c>
      <c r="Q51" s="91">
        <f aca="true" t="shared" si="39" ref="Q51:Q68">M51/F51</f>
        <v>3.129275153672646</v>
      </c>
      <c r="R51" s="91">
        <f aca="true" t="shared" si="40" ref="R51:R68">(N51/2-G51/2)/TAN($O$41)</f>
        <v>0.009612002797519045</v>
      </c>
      <c r="S51" s="91">
        <f aca="true" t="shared" si="41" ref="S51:S68">R51*39.3700787402</f>
        <v>0.3784253069893475</v>
      </c>
      <c r="T51" s="91">
        <f aca="true" t="shared" si="42" ref="T51:T68">$O$38</f>
        <v>0.079</v>
      </c>
      <c r="U51" s="91">
        <f aca="true" t="shared" si="43" ref="U51:U68">T51*0.0254</f>
        <v>0.0020066</v>
      </c>
      <c r="V51" s="91">
        <f aca="true" t="shared" si="44" ref="V51:V68">$O$46-S51-T51</f>
        <v>3.667574693010652</v>
      </c>
      <c r="W51" s="91">
        <f aca="true" t="shared" si="45" ref="W51:W68">$O$47-R51-U51</f>
        <v>0.09315639720248095</v>
      </c>
      <c r="X51" s="91">
        <f aca="true" t="shared" si="46" ref="X51:X68">2*((SIN($O$44)/SIN($T$39))*V51)+I51</f>
        <v>4.498674672665015</v>
      </c>
      <c r="Y51" s="92">
        <f aca="true" t="shared" si="47" ref="Y51:Y68">SQRT((2*$D$42)/($D$42-1)*$D$44*$D$41*(1-($J$43/(C51/1000))^(($D$42-1)/$D$42)))</f>
        <v>2236.819402107527</v>
      </c>
      <c r="Z51" s="91">
        <f aca="true" t="shared" si="48" ref="Z51:Z68">Y51/J51</f>
        <v>893.6235589474145</v>
      </c>
      <c r="AA51" s="92">
        <f aca="true" t="shared" si="49" ref="AA51:AA68">Z51^2/($D$44*$D$42)</f>
        <v>2755.5661321809366</v>
      </c>
    </row>
    <row r="52" spans="1:27" ht="12.75">
      <c r="A52" s="91">
        <v>0.19</v>
      </c>
      <c r="B52" s="91">
        <v>357.85</v>
      </c>
      <c r="C52" s="91">
        <f t="shared" si="25"/>
        <v>2467288.8973608846</v>
      </c>
      <c r="D52" s="91">
        <f t="shared" si="26"/>
        <v>1624.9901353965565</v>
      </c>
      <c r="E52" s="91">
        <f t="shared" si="27"/>
        <v>5331.332465206725</v>
      </c>
      <c r="F52" s="91">
        <f t="shared" si="28"/>
        <v>3.5241875761886475E-05</v>
      </c>
      <c r="G52" s="91">
        <f t="shared" si="29"/>
        <v>0.00669860805322102</v>
      </c>
      <c r="H52" s="91">
        <f t="shared" si="30"/>
        <v>0.05462501668109132</v>
      </c>
      <c r="I52" s="91">
        <f t="shared" si="31"/>
        <v>0.2637247265050879</v>
      </c>
      <c r="J52" s="92">
        <f t="shared" si="32"/>
        <v>2.67830150015444</v>
      </c>
      <c r="K52" s="93">
        <f t="shared" si="33"/>
        <v>4424.778761061947</v>
      </c>
      <c r="L52" s="93">
        <f t="shared" si="34"/>
        <v>4845.2814702463</v>
      </c>
      <c r="M52" s="91">
        <f t="shared" si="35"/>
        <v>0.0001355376760466705</v>
      </c>
      <c r="N52" s="91">
        <f t="shared" si="36"/>
        <v>0.013136663539275287</v>
      </c>
      <c r="O52" s="91">
        <f t="shared" si="37"/>
        <v>0.2100838180404904</v>
      </c>
      <c r="P52" s="91">
        <f t="shared" si="38"/>
        <v>0.5171914779248579</v>
      </c>
      <c r="Q52" s="91">
        <f t="shared" si="39"/>
        <v>3.8459268445992403</v>
      </c>
      <c r="R52" s="91">
        <f t="shared" si="40"/>
        <v>0.012013575087951036</v>
      </c>
      <c r="S52" s="91">
        <f t="shared" si="41"/>
        <v>0.47297539716393744</v>
      </c>
      <c r="T52" s="91">
        <f t="shared" si="42"/>
        <v>0.079</v>
      </c>
      <c r="U52" s="91">
        <f t="shared" si="43"/>
        <v>0.0020066</v>
      </c>
      <c r="V52" s="91">
        <f t="shared" si="44"/>
        <v>3.5730246028360626</v>
      </c>
      <c r="W52" s="91">
        <f t="shared" si="45"/>
        <v>0.09075482491204896</v>
      </c>
      <c r="X52" s="91">
        <f t="shared" si="46"/>
        <v>4.3894981590422</v>
      </c>
      <c r="Y52" s="92">
        <f t="shared" si="47"/>
        <v>2319.1597396554757</v>
      </c>
      <c r="Z52" s="91">
        <f t="shared" si="48"/>
        <v>865.906896412426</v>
      </c>
      <c r="AA52" s="92">
        <f t="shared" si="49"/>
        <v>2587.2834825906843</v>
      </c>
    </row>
    <row r="53" spans="1:27" ht="12.75">
      <c r="A53" s="91">
        <v>0.22</v>
      </c>
      <c r="B53" s="91">
        <v>414.36</v>
      </c>
      <c r="C53" s="91">
        <f t="shared" si="25"/>
        <v>2856911.631997921</v>
      </c>
      <c r="D53" s="91">
        <f t="shared" si="26"/>
        <v>1624.9901353965565</v>
      </c>
      <c r="E53" s="91">
        <f t="shared" si="27"/>
        <v>5331.332465206725</v>
      </c>
      <c r="F53" s="91">
        <f t="shared" si="28"/>
        <v>3.524124906775746E-05</v>
      </c>
      <c r="G53" s="91">
        <f t="shared" si="29"/>
        <v>0.006698548493437215</v>
      </c>
      <c r="H53" s="91">
        <f t="shared" si="30"/>
        <v>0.05462404530324858</v>
      </c>
      <c r="I53" s="91">
        <f t="shared" si="31"/>
        <v>0.2637223816317097</v>
      </c>
      <c r="J53" s="92">
        <f t="shared" si="32"/>
        <v>2.76223342209786</v>
      </c>
      <c r="K53" s="93">
        <f t="shared" si="33"/>
        <v>4424.778761061947</v>
      </c>
      <c r="L53" s="93">
        <f t="shared" si="34"/>
        <v>5610.425681182777</v>
      </c>
      <c r="M53" s="91">
        <f t="shared" si="35"/>
        <v>0.00014988506985787797</v>
      </c>
      <c r="N53" s="91">
        <f t="shared" si="36"/>
        <v>0.01381447060543554</v>
      </c>
      <c r="O53" s="91">
        <f t="shared" si="37"/>
        <v>0.23232232292492627</v>
      </c>
      <c r="P53" s="91">
        <f t="shared" si="38"/>
        <v>0.5438767954902549</v>
      </c>
      <c r="Q53" s="91">
        <f t="shared" si="39"/>
        <v>4.25311456951193</v>
      </c>
      <c r="R53" s="91">
        <f t="shared" si="40"/>
        <v>0.013278491432340292</v>
      </c>
      <c r="S53" s="91">
        <f t="shared" si="41"/>
        <v>0.5227752532423083</v>
      </c>
      <c r="T53" s="91">
        <f t="shared" si="42"/>
        <v>0.079</v>
      </c>
      <c r="U53" s="91">
        <f t="shared" si="43"/>
        <v>0.0020066</v>
      </c>
      <c r="V53" s="91">
        <f t="shared" si="44"/>
        <v>3.5232247467576916</v>
      </c>
      <c r="W53" s="91">
        <f t="shared" si="45"/>
        <v>0.0894899085676597</v>
      </c>
      <c r="X53" s="91">
        <f t="shared" si="46"/>
        <v>4.331991893543918</v>
      </c>
      <c r="Y53" s="92">
        <f t="shared" si="47"/>
        <v>2355.926544566046</v>
      </c>
      <c r="Z53" s="91">
        <f t="shared" si="48"/>
        <v>852.9063929639833</v>
      </c>
      <c r="AA53" s="92">
        <f t="shared" si="49"/>
        <v>2510.1770709420557</v>
      </c>
    </row>
    <row r="54" spans="1:27" ht="12.75">
      <c r="A54" s="91">
        <v>0.2</v>
      </c>
      <c r="B54" s="91">
        <v>375</v>
      </c>
      <c r="C54" s="91">
        <f t="shared" si="25"/>
        <v>2585533.98493875</v>
      </c>
      <c r="D54" s="91">
        <f t="shared" si="26"/>
        <v>1624.9901353965565</v>
      </c>
      <c r="E54" s="91">
        <f t="shared" si="27"/>
        <v>5331.332465206725</v>
      </c>
      <c r="F54" s="91">
        <f t="shared" si="28"/>
        <v>3.540015506355389E-05</v>
      </c>
      <c r="G54" s="91">
        <f t="shared" si="29"/>
        <v>0.006713633689491371</v>
      </c>
      <c r="H54" s="91">
        <f t="shared" si="30"/>
        <v>0.054870350089343226</v>
      </c>
      <c r="I54" s="91">
        <f t="shared" si="31"/>
        <v>0.2643162869881733</v>
      </c>
      <c r="J54" s="92">
        <f t="shared" si="32"/>
        <v>2.705104652336425</v>
      </c>
      <c r="K54" s="93">
        <f t="shared" si="33"/>
        <v>4424.778761061947</v>
      </c>
      <c r="L54" s="93">
        <f t="shared" si="34"/>
        <v>5077.4921093820385</v>
      </c>
      <c r="M54" s="91">
        <f t="shared" si="35"/>
        <v>0.00014057699572564493</v>
      </c>
      <c r="N54" s="91">
        <f t="shared" si="36"/>
        <v>0.01337864679397573</v>
      </c>
      <c r="O54" s="91">
        <f t="shared" si="37"/>
        <v>0.21789477916484215</v>
      </c>
      <c r="P54" s="91">
        <f t="shared" si="38"/>
        <v>0.5267183777162255</v>
      </c>
      <c r="Q54" s="91">
        <f t="shared" si="39"/>
        <v>3.9710841795259677</v>
      </c>
      <c r="R54" s="91">
        <f t="shared" si="40"/>
        <v>0.012437083769524002</v>
      </c>
      <c r="S54" s="91">
        <f t="shared" si="41"/>
        <v>0.4896489673046234</v>
      </c>
      <c r="T54" s="91">
        <f t="shared" si="42"/>
        <v>0.079</v>
      </c>
      <c r="U54" s="91">
        <f t="shared" si="43"/>
        <v>0.0020066</v>
      </c>
      <c r="V54" s="91">
        <f t="shared" si="44"/>
        <v>3.5563510326953764</v>
      </c>
      <c r="W54" s="91">
        <f t="shared" si="45"/>
        <v>0.090331316230476</v>
      </c>
      <c r="X54" s="91">
        <f t="shared" si="46"/>
        <v>4.370836739107132</v>
      </c>
      <c r="Y54" s="92">
        <f t="shared" si="47"/>
        <v>2331.082826029737</v>
      </c>
      <c r="Z54" s="91">
        <f t="shared" si="48"/>
        <v>861.7348035006182</v>
      </c>
      <c r="AA54" s="92">
        <f t="shared" si="49"/>
        <v>2562.411565094644</v>
      </c>
    </row>
    <row r="55" spans="1:27" ht="12.75">
      <c r="A55" s="91">
        <v>0.2</v>
      </c>
      <c r="B55" s="91">
        <v>400</v>
      </c>
      <c r="C55" s="91">
        <f t="shared" si="25"/>
        <v>2757902.917268</v>
      </c>
      <c r="D55" s="91">
        <f t="shared" si="26"/>
        <v>1624.9901353965565</v>
      </c>
      <c r="E55" s="91">
        <f t="shared" si="27"/>
        <v>5331.332465206725</v>
      </c>
      <c r="F55" s="91">
        <f t="shared" si="28"/>
        <v>3.318764537208178E-05</v>
      </c>
      <c r="G55" s="91">
        <f t="shared" si="29"/>
        <v>0.006500447867984285</v>
      </c>
      <c r="H55" s="91">
        <f t="shared" si="30"/>
        <v>0.051440953208759285</v>
      </c>
      <c r="I55" s="91">
        <f t="shared" si="31"/>
        <v>0.2559231444091438</v>
      </c>
      <c r="J55" s="92">
        <f t="shared" si="32"/>
        <v>2.742047057692247</v>
      </c>
      <c r="K55" s="93">
        <f t="shared" si="33"/>
        <v>4424.778761061947</v>
      </c>
      <c r="L55" s="93">
        <f t="shared" si="34"/>
        <v>5415.991583340841</v>
      </c>
      <c r="M55" s="91">
        <f t="shared" si="35"/>
        <v>0.0001377626768664553</v>
      </c>
      <c r="N55" s="91">
        <f t="shared" si="36"/>
        <v>0.013244051040936941</v>
      </c>
      <c r="O55" s="91">
        <f t="shared" si="37"/>
        <v>0.2135325762086816</v>
      </c>
      <c r="P55" s="91">
        <f t="shared" si="38"/>
        <v>0.5214193323209911</v>
      </c>
      <c r="Q55" s="91">
        <f t="shared" si="39"/>
        <v>4.151022928018403</v>
      </c>
      <c r="R55" s="91">
        <f t="shared" si="40"/>
        <v>0.012583734833771003</v>
      </c>
      <c r="S55" s="91">
        <f t="shared" si="41"/>
        <v>0.49542263125136193</v>
      </c>
      <c r="T55" s="91">
        <f t="shared" si="42"/>
        <v>0.079</v>
      </c>
      <c r="U55" s="91">
        <f t="shared" si="43"/>
        <v>0.0020066</v>
      </c>
      <c r="V55" s="91">
        <f t="shared" si="44"/>
        <v>3.550577368748638</v>
      </c>
      <c r="W55" s="91">
        <f t="shared" si="45"/>
        <v>0.090184665166229</v>
      </c>
      <c r="X55" s="91">
        <f t="shared" si="46"/>
        <v>4.355776743660382</v>
      </c>
      <c r="Y55" s="92">
        <f t="shared" si="47"/>
        <v>2347.235607029112</v>
      </c>
      <c r="Z55" s="91">
        <f t="shared" si="48"/>
        <v>856.0158004744766</v>
      </c>
      <c r="AA55" s="92">
        <f t="shared" si="49"/>
        <v>2528.512942243393</v>
      </c>
    </row>
    <row r="56" spans="1:27" ht="12.75">
      <c r="A56" s="91">
        <v>0.2</v>
      </c>
      <c r="B56" s="91">
        <v>450</v>
      </c>
      <c r="C56" s="91">
        <f t="shared" si="25"/>
        <v>3102640.7819264997</v>
      </c>
      <c r="D56" s="91">
        <f t="shared" si="26"/>
        <v>1624.9901353965565</v>
      </c>
      <c r="E56" s="91">
        <f t="shared" si="27"/>
        <v>5331.332465206725</v>
      </c>
      <c r="F56" s="91">
        <f t="shared" si="28"/>
        <v>2.9500129219628252E-05</v>
      </c>
      <c r="G56" s="91">
        <f t="shared" si="29"/>
        <v>0.006128681024268431</v>
      </c>
      <c r="H56" s="91">
        <f t="shared" si="30"/>
        <v>0.045725291741119375</v>
      </c>
      <c r="I56" s="91">
        <f t="shared" si="31"/>
        <v>0.2412866544990529</v>
      </c>
      <c r="J56" s="92">
        <f t="shared" si="32"/>
        <v>2.809457112038132</v>
      </c>
      <c r="K56" s="93">
        <f t="shared" si="33"/>
        <v>4424.778761061947</v>
      </c>
      <c r="L56" s="93">
        <f t="shared" si="34"/>
        <v>6092.990531258445</v>
      </c>
      <c r="M56" s="91">
        <f t="shared" si="35"/>
        <v>0.00013283313687688288</v>
      </c>
      <c r="N56" s="91">
        <f t="shared" si="36"/>
        <v>0.013004937628565002</v>
      </c>
      <c r="O56" s="91">
        <f t="shared" si="37"/>
        <v>0.2058917739432211</v>
      </c>
      <c r="P56" s="91">
        <f t="shared" si="38"/>
        <v>0.5120054184480687</v>
      </c>
      <c r="Q56" s="91">
        <f t="shared" si="39"/>
        <v>4.502798475489416</v>
      </c>
      <c r="R56" s="91">
        <f t="shared" si="40"/>
        <v>0.01283126950655792</v>
      </c>
      <c r="S56" s="91">
        <f t="shared" si="41"/>
        <v>0.5051680908099125</v>
      </c>
      <c r="T56" s="91">
        <f t="shared" si="42"/>
        <v>0.079</v>
      </c>
      <c r="U56" s="91">
        <f t="shared" si="43"/>
        <v>0.0020066</v>
      </c>
      <c r="V56" s="91">
        <f t="shared" si="44"/>
        <v>3.540831909190087</v>
      </c>
      <c r="W56" s="91">
        <f t="shared" si="45"/>
        <v>0.08993713049344207</v>
      </c>
      <c r="X56" s="91">
        <f t="shared" si="46"/>
        <v>4.329887166351279</v>
      </c>
      <c r="Y56" s="92">
        <f t="shared" si="47"/>
        <v>2375.8911867763395</v>
      </c>
      <c r="Z56" s="91">
        <f t="shared" si="48"/>
        <v>845.6762612947451</v>
      </c>
      <c r="AA56" s="92">
        <f t="shared" si="49"/>
        <v>2467.799651199552</v>
      </c>
    </row>
    <row r="57" spans="1:27" s="110" customFormat="1" ht="12.75">
      <c r="A57" s="110">
        <v>0.3</v>
      </c>
      <c r="B57" s="110">
        <v>300</v>
      </c>
      <c r="C57" s="110">
        <f t="shared" si="25"/>
        <v>2068427.187951</v>
      </c>
      <c r="D57" s="110">
        <f t="shared" si="26"/>
        <v>1624.9901353965565</v>
      </c>
      <c r="E57" s="110">
        <f t="shared" si="27"/>
        <v>5331.332465206725</v>
      </c>
      <c r="F57" s="110">
        <f t="shared" si="28"/>
        <v>6.637529074416355E-05</v>
      </c>
      <c r="G57" s="110">
        <f t="shared" si="29"/>
        <v>0.009193021536402645</v>
      </c>
      <c r="H57" s="110">
        <f t="shared" si="30"/>
        <v>0.10288190641751857</v>
      </c>
      <c r="I57" s="110">
        <f t="shared" si="31"/>
        <v>0.3619299817485793</v>
      </c>
      <c r="J57" s="111">
        <f t="shared" si="32"/>
        <v>2.577231736451192</v>
      </c>
      <c r="K57" s="111">
        <f t="shared" si="33"/>
        <v>4424.778761061947</v>
      </c>
      <c r="L57" s="111">
        <f t="shared" si="34"/>
        <v>4061.9936875056305</v>
      </c>
      <c r="M57" s="110">
        <f t="shared" si="35"/>
        <v>0.00022648256221053823</v>
      </c>
      <c r="N57" s="110">
        <f t="shared" si="36"/>
        <v>0.01698135902686822</v>
      </c>
      <c r="O57" s="110">
        <f t="shared" si="37"/>
        <v>0.35104867352454194</v>
      </c>
      <c r="P57" s="110">
        <f t="shared" si="38"/>
        <v>0.6685574420035054</v>
      </c>
      <c r="Q57" s="110">
        <f t="shared" si="39"/>
        <v>3.4121517159674823</v>
      </c>
      <c r="R57" s="110">
        <f t="shared" si="40"/>
        <v>0.014533235610455508</v>
      </c>
      <c r="S57" s="110">
        <f t="shared" si="41"/>
        <v>0.5721746303335119</v>
      </c>
      <c r="T57" s="110">
        <f t="shared" si="42"/>
        <v>0.079</v>
      </c>
      <c r="U57" s="110">
        <f t="shared" si="43"/>
        <v>0.0020066</v>
      </c>
      <c r="V57" s="110">
        <f t="shared" si="44"/>
        <v>3.473825369666488</v>
      </c>
      <c r="W57" s="110">
        <f t="shared" si="45"/>
        <v>0.08823516438954448</v>
      </c>
      <c r="X57" s="110">
        <f t="shared" si="46"/>
        <v>4.373158006337975</v>
      </c>
      <c r="Y57" s="111">
        <f t="shared" si="47"/>
        <v>2272.614410993938</v>
      </c>
      <c r="Z57" s="110">
        <f t="shared" si="48"/>
        <v>881.804448878661</v>
      </c>
      <c r="AA57" s="111">
        <f t="shared" si="49"/>
        <v>2683.1576468681374</v>
      </c>
    </row>
    <row r="58" spans="1:27" s="110" customFormat="1" ht="12.75">
      <c r="A58" s="110">
        <v>0.3</v>
      </c>
      <c r="B58" s="110">
        <v>325</v>
      </c>
      <c r="C58" s="110">
        <f t="shared" si="25"/>
        <v>2240796.12028025</v>
      </c>
      <c r="D58" s="110">
        <f t="shared" si="26"/>
        <v>1624.9901353965565</v>
      </c>
      <c r="E58" s="110">
        <f t="shared" si="27"/>
        <v>5331.332465206725</v>
      </c>
      <c r="F58" s="110">
        <f t="shared" si="28"/>
        <v>6.126949914845866E-05</v>
      </c>
      <c r="G58" s="110">
        <f t="shared" si="29"/>
        <v>0.008832369399087369</v>
      </c>
      <c r="H58" s="110">
        <f t="shared" si="30"/>
        <v>0.09496791361617099</v>
      </c>
      <c r="I58" s="110">
        <f t="shared" si="31"/>
        <v>0.34773107870465336</v>
      </c>
      <c r="J58" s="111">
        <f t="shared" si="32"/>
        <v>2.623136991147582</v>
      </c>
      <c r="K58" s="111">
        <f t="shared" si="33"/>
        <v>4424.778761061947</v>
      </c>
      <c r="L58" s="111">
        <f t="shared" si="34"/>
        <v>4400.493161464433</v>
      </c>
      <c r="M58" s="110">
        <f t="shared" si="35"/>
        <v>0.00022068900768495382</v>
      </c>
      <c r="N58" s="110">
        <f t="shared" si="36"/>
        <v>0.016762755491650096</v>
      </c>
      <c r="O58" s="110">
        <f t="shared" si="37"/>
        <v>0.34206864604980913</v>
      </c>
      <c r="P58" s="110">
        <f t="shared" si="38"/>
        <v>0.6599510036090804</v>
      </c>
      <c r="Q58" s="110">
        <f t="shared" si="39"/>
        <v>3.601939150020057</v>
      </c>
      <c r="R58" s="110">
        <f t="shared" si="40"/>
        <v>0.014798301910540861</v>
      </c>
      <c r="S58" s="110">
        <f t="shared" si="41"/>
        <v>0.5826103114392458</v>
      </c>
      <c r="T58" s="110">
        <f t="shared" si="42"/>
        <v>0.079</v>
      </c>
      <c r="U58" s="110">
        <f t="shared" si="43"/>
        <v>0.0020066</v>
      </c>
      <c r="V58" s="110">
        <f t="shared" si="44"/>
        <v>3.463389688560754</v>
      </c>
      <c r="W58" s="110">
        <f t="shared" si="45"/>
        <v>0.08797009808945913</v>
      </c>
      <c r="X58" s="110">
        <f t="shared" si="46"/>
        <v>4.346909016702904</v>
      </c>
      <c r="Y58" s="111">
        <f t="shared" si="47"/>
        <v>2294.0701338397985</v>
      </c>
      <c r="Z58" s="110">
        <f t="shared" si="48"/>
        <v>874.5521646721844</v>
      </c>
      <c r="AA58" s="111">
        <f t="shared" si="49"/>
        <v>2639.204584999957</v>
      </c>
    </row>
    <row r="59" spans="1:27" s="110" customFormat="1" ht="12.75">
      <c r="A59" s="110">
        <v>0.3</v>
      </c>
      <c r="B59" s="110">
        <v>350</v>
      </c>
      <c r="C59" s="110">
        <f t="shared" si="25"/>
        <v>2413165.0526095</v>
      </c>
      <c r="D59" s="110">
        <f t="shared" si="26"/>
        <v>1624.9901353965565</v>
      </c>
      <c r="E59" s="110">
        <f t="shared" si="27"/>
        <v>5331.332465206725</v>
      </c>
      <c r="F59" s="110">
        <f t="shared" si="28"/>
        <v>5.689310635214019E-05</v>
      </c>
      <c r="G59" s="110">
        <f t="shared" si="29"/>
        <v>0.008511084116043512</v>
      </c>
      <c r="H59" s="110">
        <f t="shared" si="30"/>
        <v>0.08818449121501591</v>
      </c>
      <c r="I59" s="110">
        <f t="shared" si="31"/>
        <v>0.33508205181314743</v>
      </c>
      <c r="J59" s="111">
        <f t="shared" si="32"/>
        <v>2.6655983963712253</v>
      </c>
      <c r="K59" s="111">
        <f t="shared" si="33"/>
        <v>4424.778761061947</v>
      </c>
      <c r="L59" s="111">
        <f t="shared" si="34"/>
        <v>4738.992635423236</v>
      </c>
      <c r="M59" s="110">
        <f t="shared" si="35"/>
        <v>0.0002155193722291485</v>
      </c>
      <c r="N59" s="110">
        <f t="shared" si="36"/>
        <v>0.016565258445875485</v>
      </c>
      <c r="O59" s="110">
        <f t="shared" si="37"/>
        <v>0.3340556950673893</v>
      </c>
      <c r="P59" s="110">
        <f t="shared" si="38"/>
        <v>0.6521755293659761</v>
      </c>
      <c r="Q59" s="110">
        <f t="shared" si="39"/>
        <v>3.788145630424716</v>
      </c>
      <c r="R59" s="110">
        <f t="shared" si="40"/>
        <v>0.01502929390597497</v>
      </c>
      <c r="S59" s="110">
        <f t="shared" si="41"/>
        <v>0.5917044844878425</v>
      </c>
      <c r="T59" s="110">
        <f t="shared" si="42"/>
        <v>0.079</v>
      </c>
      <c r="U59" s="110">
        <f t="shared" si="43"/>
        <v>0.0020066</v>
      </c>
      <c r="V59" s="110">
        <f t="shared" si="44"/>
        <v>3.454295515512157</v>
      </c>
      <c r="W59" s="110">
        <f t="shared" si="45"/>
        <v>0.08773910609402502</v>
      </c>
      <c r="X59" s="110">
        <f t="shared" si="46"/>
        <v>4.323758943296069</v>
      </c>
      <c r="Y59" s="111">
        <f t="shared" si="47"/>
        <v>2313.4482844988847</v>
      </c>
      <c r="Z59" s="110">
        <f t="shared" si="48"/>
        <v>867.8907849165369</v>
      </c>
      <c r="AA59" s="111">
        <f t="shared" si="49"/>
        <v>2599.1525691622624</v>
      </c>
    </row>
    <row r="60" spans="1:27" s="110" customFormat="1" ht="12.75">
      <c r="A60" s="110">
        <v>0.3</v>
      </c>
      <c r="B60" s="110">
        <v>375</v>
      </c>
      <c r="C60" s="110">
        <f t="shared" si="25"/>
        <v>2585533.98493875</v>
      </c>
      <c r="D60" s="110">
        <f t="shared" si="26"/>
        <v>1624.9901353965565</v>
      </c>
      <c r="E60" s="110">
        <f t="shared" si="27"/>
        <v>5331.332465206725</v>
      </c>
      <c r="F60" s="110">
        <f t="shared" si="28"/>
        <v>5.310023259533083E-05</v>
      </c>
      <c r="G60" s="110">
        <f t="shared" si="29"/>
        <v>0.008222488429606349</v>
      </c>
      <c r="H60" s="110">
        <f t="shared" si="30"/>
        <v>0.08230552513401483</v>
      </c>
      <c r="I60" s="110">
        <f t="shared" si="31"/>
        <v>0.32372001691403257</v>
      </c>
      <c r="J60" s="111">
        <f t="shared" si="32"/>
        <v>2.705104652336425</v>
      </c>
      <c r="K60" s="111">
        <f t="shared" si="33"/>
        <v>4424.778761061947</v>
      </c>
      <c r="L60" s="111">
        <f t="shared" si="34"/>
        <v>5077.4921093820385</v>
      </c>
      <c r="M60" s="110">
        <f t="shared" si="35"/>
        <v>0.0002108654935884674</v>
      </c>
      <c r="N60" s="110">
        <f t="shared" si="36"/>
        <v>0.0163854290470813</v>
      </c>
      <c r="O60" s="110">
        <f t="shared" si="37"/>
        <v>0.32684216874726324</v>
      </c>
      <c r="P60" s="110">
        <f t="shared" si="38"/>
        <v>0.6450956317756451</v>
      </c>
      <c r="Q60" s="110">
        <f t="shared" si="39"/>
        <v>3.971084179525968</v>
      </c>
      <c r="R60" s="110">
        <f t="shared" si="40"/>
        <v>0.015232254561792093</v>
      </c>
      <c r="S60" s="110">
        <f t="shared" si="41"/>
        <v>0.5996950614885254</v>
      </c>
      <c r="T60" s="110">
        <f t="shared" si="42"/>
        <v>0.079</v>
      </c>
      <c r="U60" s="110">
        <f t="shared" si="43"/>
        <v>0.0020066</v>
      </c>
      <c r="V60" s="110">
        <f t="shared" si="44"/>
        <v>3.4463049385114743</v>
      </c>
      <c r="W60" s="110">
        <f t="shared" si="45"/>
        <v>0.0875361454382079</v>
      </c>
      <c r="X60" s="110">
        <f t="shared" si="46"/>
        <v>4.303170184832305</v>
      </c>
      <c r="Y60" s="111">
        <f t="shared" si="47"/>
        <v>2331.082826029737</v>
      </c>
      <c r="Z60" s="110">
        <f t="shared" si="48"/>
        <v>861.7348035006182</v>
      </c>
      <c r="AA60" s="111">
        <f t="shared" si="49"/>
        <v>2562.411565094644</v>
      </c>
    </row>
    <row r="61" spans="1:27" s="110" customFormat="1" ht="12.75">
      <c r="A61" s="110">
        <v>0.3</v>
      </c>
      <c r="B61" s="110">
        <v>400</v>
      </c>
      <c r="C61" s="110">
        <f t="shared" si="25"/>
        <v>2757902.917268</v>
      </c>
      <c r="D61" s="110">
        <f t="shared" si="26"/>
        <v>1624.9901353965565</v>
      </c>
      <c r="E61" s="110">
        <f t="shared" si="27"/>
        <v>5331.332465206725</v>
      </c>
      <c r="F61" s="110">
        <f t="shared" si="28"/>
        <v>4.978146805812266E-05</v>
      </c>
      <c r="G61" s="110">
        <f t="shared" si="29"/>
        <v>0.007961390188062141</v>
      </c>
      <c r="H61" s="110">
        <f t="shared" si="30"/>
        <v>0.07716142981313892</v>
      </c>
      <c r="I61" s="110">
        <f t="shared" si="31"/>
        <v>0.3134405585855079</v>
      </c>
      <c r="J61" s="111">
        <f t="shared" si="32"/>
        <v>2.742047057692247</v>
      </c>
      <c r="K61" s="111">
        <f t="shared" si="33"/>
        <v>4424.778761061947</v>
      </c>
      <c r="L61" s="111">
        <f t="shared" si="34"/>
        <v>5415.991583340841</v>
      </c>
      <c r="M61" s="110">
        <f t="shared" si="35"/>
        <v>0.0002066440152996829</v>
      </c>
      <c r="N61" s="110">
        <f t="shared" si="36"/>
        <v>0.016220583588835952</v>
      </c>
      <c r="O61" s="110">
        <f t="shared" si="37"/>
        <v>0.32029886431302235</v>
      </c>
      <c r="P61" s="110">
        <f t="shared" si="38"/>
        <v>0.6386056531045605</v>
      </c>
      <c r="Q61" s="110">
        <f t="shared" si="39"/>
        <v>4.151022928018403</v>
      </c>
      <c r="R61" s="110">
        <f t="shared" si="40"/>
        <v>0.015411864700612723</v>
      </c>
      <c r="S61" s="110">
        <f t="shared" si="41"/>
        <v>0.6067663267964318</v>
      </c>
      <c r="T61" s="110">
        <f t="shared" si="42"/>
        <v>0.079</v>
      </c>
      <c r="U61" s="110">
        <f t="shared" si="43"/>
        <v>0.0020066</v>
      </c>
      <c r="V61" s="110">
        <f t="shared" si="44"/>
        <v>3.4392336732035678</v>
      </c>
      <c r="W61" s="110">
        <f t="shared" si="45"/>
        <v>0.08735653529938728</v>
      </c>
      <c r="X61" s="110">
        <f t="shared" si="46"/>
        <v>4.284725532645718</v>
      </c>
      <c r="Y61" s="111">
        <f t="shared" si="47"/>
        <v>2347.235607029112</v>
      </c>
      <c r="Z61" s="110">
        <f t="shared" si="48"/>
        <v>856.0158004744766</v>
      </c>
      <c r="AA61" s="111">
        <f t="shared" si="49"/>
        <v>2528.512942243393</v>
      </c>
    </row>
    <row r="62" spans="1:27" s="110" customFormat="1" ht="12.75">
      <c r="A62" s="110">
        <v>0.3</v>
      </c>
      <c r="B62" s="110">
        <v>450</v>
      </c>
      <c r="C62" s="110">
        <f t="shared" si="25"/>
        <v>3102640.7819264997</v>
      </c>
      <c r="D62" s="110">
        <f t="shared" si="26"/>
        <v>1624.9901353965565</v>
      </c>
      <c r="E62" s="110">
        <f t="shared" si="27"/>
        <v>5331.332465206725</v>
      </c>
      <c r="F62" s="110">
        <f t="shared" si="28"/>
        <v>4.4250193829442376E-05</v>
      </c>
      <c r="G62" s="110">
        <f t="shared" si="29"/>
        <v>0.007506070652867712</v>
      </c>
      <c r="H62" s="110">
        <f t="shared" si="30"/>
        <v>0.06858793761167906</v>
      </c>
      <c r="I62" s="110">
        <f t="shared" si="31"/>
        <v>0.2955145926329493</v>
      </c>
      <c r="J62" s="111">
        <f t="shared" si="32"/>
        <v>2.809457112038132</v>
      </c>
      <c r="K62" s="111">
        <f t="shared" si="33"/>
        <v>4424.778761061947</v>
      </c>
      <c r="L62" s="111">
        <f t="shared" si="34"/>
        <v>6092.990531258445</v>
      </c>
      <c r="M62" s="110">
        <f t="shared" si="35"/>
        <v>0.00019924970531532432</v>
      </c>
      <c r="N62" s="110">
        <f t="shared" si="36"/>
        <v>0.01592773066335248</v>
      </c>
      <c r="O62" s="110">
        <f t="shared" si="37"/>
        <v>0.30883766091483167</v>
      </c>
      <c r="P62" s="110">
        <f t="shared" si="38"/>
        <v>0.6270760103689766</v>
      </c>
      <c r="Q62" s="110">
        <f t="shared" si="39"/>
        <v>4.502798475489417</v>
      </c>
      <c r="R62" s="110">
        <f t="shared" si="40"/>
        <v>0.015715031521600104</v>
      </c>
      <c r="S62" s="110">
        <f t="shared" si="41"/>
        <v>0.6187020284101211</v>
      </c>
      <c r="T62" s="110">
        <f t="shared" si="42"/>
        <v>0.079</v>
      </c>
      <c r="U62" s="110">
        <f t="shared" si="43"/>
        <v>0.0020066</v>
      </c>
      <c r="V62" s="110">
        <f t="shared" si="44"/>
        <v>3.4272979715898786</v>
      </c>
      <c r="W62" s="110">
        <f t="shared" si="45"/>
        <v>0.0870533684783999</v>
      </c>
      <c r="X62" s="110">
        <f t="shared" si="46"/>
        <v>4.253017405613899</v>
      </c>
      <c r="Y62" s="111">
        <f t="shared" si="47"/>
        <v>2375.8911867763395</v>
      </c>
      <c r="Z62" s="110">
        <f t="shared" si="48"/>
        <v>845.6762612947451</v>
      </c>
      <c r="AA62" s="111">
        <f t="shared" si="49"/>
        <v>2467.799651199552</v>
      </c>
    </row>
    <row r="63" spans="1:27" ht="12.75">
      <c r="A63" s="91">
        <v>0.35</v>
      </c>
      <c r="B63" s="91">
        <v>300</v>
      </c>
      <c r="C63" s="91">
        <f t="shared" si="25"/>
        <v>2068427.187951</v>
      </c>
      <c r="D63" s="91">
        <f t="shared" si="26"/>
        <v>1624.9901353965565</v>
      </c>
      <c r="E63" s="91">
        <f t="shared" si="27"/>
        <v>5331.332465206725</v>
      </c>
      <c r="F63" s="91">
        <f t="shared" si="28"/>
        <v>7.743783920152415E-05</v>
      </c>
      <c r="G63" s="91">
        <f t="shared" si="29"/>
        <v>0.009929598135384098</v>
      </c>
      <c r="H63" s="91">
        <f t="shared" si="30"/>
        <v>0.12002889082043833</v>
      </c>
      <c r="I63" s="91">
        <f t="shared" si="31"/>
        <v>0.390929060448672</v>
      </c>
      <c r="J63" s="92">
        <f t="shared" si="32"/>
        <v>2.577231736451192</v>
      </c>
      <c r="K63" s="93">
        <f t="shared" si="33"/>
        <v>4424.778761061947</v>
      </c>
      <c r="L63" s="93">
        <f t="shared" si="34"/>
        <v>4061.9936875056305</v>
      </c>
      <c r="M63" s="91">
        <f t="shared" si="35"/>
        <v>0.00026422965591229463</v>
      </c>
      <c r="N63" s="91">
        <f t="shared" si="36"/>
        <v>0.018341964093283432</v>
      </c>
      <c r="O63" s="91">
        <f t="shared" si="37"/>
        <v>0.4095567857786323</v>
      </c>
      <c r="P63" s="91">
        <f t="shared" si="38"/>
        <v>0.722124570602595</v>
      </c>
      <c r="Q63" s="91">
        <f t="shared" si="39"/>
        <v>3.412151715967483</v>
      </c>
      <c r="R63" s="91">
        <f t="shared" si="40"/>
        <v>0.01569768858337157</v>
      </c>
      <c r="S63" s="91">
        <f t="shared" si="41"/>
        <v>0.6180192355664773</v>
      </c>
      <c r="T63" s="91">
        <f t="shared" si="42"/>
        <v>0.079</v>
      </c>
      <c r="U63" s="91">
        <f t="shared" si="43"/>
        <v>0.0020066</v>
      </c>
      <c r="V63" s="91">
        <f t="shared" si="44"/>
        <v>3.4279807644335225</v>
      </c>
      <c r="W63" s="91">
        <f t="shared" si="45"/>
        <v>0.08707071141662842</v>
      </c>
      <c r="X63" s="91">
        <f t="shared" si="46"/>
        <v>4.349220294693779</v>
      </c>
      <c r="Y63" s="92">
        <f t="shared" si="47"/>
        <v>2272.614410993938</v>
      </c>
      <c r="Z63" s="91">
        <f t="shared" si="48"/>
        <v>881.804448878661</v>
      </c>
      <c r="AA63" s="92">
        <f t="shared" si="49"/>
        <v>2683.1576468681374</v>
      </c>
    </row>
    <row r="64" spans="1:27" ht="12.75">
      <c r="A64" s="91">
        <v>0.35</v>
      </c>
      <c r="B64" s="91">
        <v>325</v>
      </c>
      <c r="C64" s="91">
        <f t="shared" si="25"/>
        <v>2240796.12028025</v>
      </c>
      <c r="D64" s="91">
        <f t="shared" si="26"/>
        <v>1624.9901353965565</v>
      </c>
      <c r="E64" s="91">
        <f t="shared" si="27"/>
        <v>5331.332465206725</v>
      </c>
      <c r="F64" s="91">
        <f t="shared" si="28"/>
        <v>7.148108233986843E-05</v>
      </c>
      <c r="G64" s="91">
        <f t="shared" si="29"/>
        <v>0.009540049304672947</v>
      </c>
      <c r="H64" s="91">
        <f t="shared" si="30"/>
        <v>0.11079589921886614</v>
      </c>
      <c r="I64" s="91">
        <f t="shared" si="31"/>
        <v>0.3755924923104189</v>
      </c>
      <c r="J64" s="92">
        <f t="shared" si="32"/>
        <v>2.623136991147582</v>
      </c>
      <c r="K64" s="93">
        <f t="shared" si="33"/>
        <v>4424.778761061947</v>
      </c>
      <c r="L64" s="93">
        <f t="shared" si="34"/>
        <v>4400.493161464433</v>
      </c>
      <c r="M64" s="91">
        <f t="shared" si="35"/>
        <v>0.00025747050896577945</v>
      </c>
      <c r="N64" s="91">
        <f t="shared" si="36"/>
        <v>0.018105845288699438</v>
      </c>
      <c r="O64" s="91">
        <f t="shared" si="37"/>
        <v>0.39908008705811066</v>
      </c>
      <c r="P64" s="91">
        <f t="shared" si="38"/>
        <v>0.71282855467408</v>
      </c>
      <c r="Q64" s="91">
        <f t="shared" si="39"/>
        <v>3.6019391500200575</v>
      </c>
      <c r="R64" s="91">
        <f t="shared" si="40"/>
        <v>0.015983992909828156</v>
      </c>
      <c r="S64" s="91">
        <f t="shared" si="41"/>
        <v>0.629291059442733</v>
      </c>
      <c r="T64" s="91">
        <f t="shared" si="42"/>
        <v>0.079</v>
      </c>
      <c r="U64" s="91">
        <f t="shared" si="43"/>
        <v>0.0020066</v>
      </c>
      <c r="V64" s="91">
        <f t="shared" si="44"/>
        <v>3.416708940557267</v>
      </c>
      <c r="W64" s="91">
        <f t="shared" si="45"/>
        <v>0.08678440709017184</v>
      </c>
      <c r="X64" s="91">
        <f t="shared" si="46"/>
        <v>4.320868145457097</v>
      </c>
      <c r="Y64" s="92">
        <f t="shared" si="47"/>
        <v>2294.0701338397985</v>
      </c>
      <c r="Z64" s="91">
        <f t="shared" si="48"/>
        <v>874.5521646721844</v>
      </c>
      <c r="AA64" s="92">
        <f t="shared" si="49"/>
        <v>2639.204584999957</v>
      </c>
    </row>
    <row r="65" spans="1:27" ht="12.75">
      <c r="A65" s="91">
        <v>0.35</v>
      </c>
      <c r="B65" s="91">
        <v>350</v>
      </c>
      <c r="C65" s="91">
        <f t="shared" si="25"/>
        <v>2413165.0526095</v>
      </c>
      <c r="D65" s="91">
        <f t="shared" si="26"/>
        <v>1624.9901353965565</v>
      </c>
      <c r="E65" s="91">
        <f t="shared" si="27"/>
        <v>5331.332465206725</v>
      </c>
      <c r="F65" s="91">
        <f t="shared" si="28"/>
        <v>6.637529074416355E-05</v>
      </c>
      <c r="G65" s="91">
        <f t="shared" si="29"/>
        <v>0.009193021536402645</v>
      </c>
      <c r="H65" s="91">
        <f t="shared" si="30"/>
        <v>0.10288190641751857</v>
      </c>
      <c r="I65" s="91">
        <f t="shared" si="31"/>
        <v>0.3619299817485793</v>
      </c>
      <c r="J65" s="92">
        <f t="shared" si="32"/>
        <v>2.6655983963712253</v>
      </c>
      <c r="K65" s="93">
        <f t="shared" si="33"/>
        <v>4424.778761061947</v>
      </c>
      <c r="L65" s="93">
        <f t="shared" si="34"/>
        <v>4738.992635423236</v>
      </c>
      <c r="M65" s="91">
        <f t="shared" si="35"/>
        <v>0.00025143926760067323</v>
      </c>
      <c r="N65" s="91">
        <f t="shared" si="36"/>
        <v>0.017892524098304965</v>
      </c>
      <c r="O65" s="91">
        <f t="shared" si="37"/>
        <v>0.38973164424528745</v>
      </c>
      <c r="P65" s="91">
        <f t="shared" si="38"/>
        <v>0.7044300826112952</v>
      </c>
      <c r="Q65" s="91">
        <f t="shared" si="39"/>
        <v>3.7881456304247156</v>
      </c>
      <c r="R65" s="91">
        <f t="shared" si="40"/>
        <v>0.016233492780797533</v>
      </c>
      <c r="S65" s="91">
        <f t="shared" si="41"/>
        <v>0.6391138890084671</v>
      </c>
      <c r="T65" s="91">
        <f t="shared" si="42"/>
        <v>0.079</v>
      </c>
      <c r="U65" s="91">
        <f t="shared" si="43"/>
        <v>0.0020066</v>
      </c>
      <c r="V65" s="91">
        <f t="shared" si="44"/>
        <v>3.406886110991533</v>
      </c>
      <c r="W65" s="91">
        <f t="shared" si="45"/>
        <v>0.08653490721920246</v>
      </c>
      <c r="X65" s="91">
        <f t="shared" si="46"/>
        <v>4.2958632083072965</v>
      </c>
      <c r="Y65" s="92">
        <f t="shared" si="47"/>
        <v>2313.4482844988847</v>
      </c>
      <c r="Z65" s="91">
        <f t="shared" si="48"/>
        <v>867.8907849165369</v>
      </c>
      <c r="AA65" s="92">
        <f t="shared" si="49"/>
        <v>2599.1525691622624</v>
      </c>
    </row>
    <row r="66" spans="1:27" ht="12.75">
      <c r="A66" s="91">
        <v>0.35</v>
      </c>
      <c r="B66" s="91">
        <v>375</v>
      </c>
      <c r="C66" s="91">
        <f t="shared" si="25"/>
        <v>2585533.98493875</v>
      </c>
      <c r="D66" s="91">
        <f t="shared" si="26"/>
        <v>1624.9901353965565</v>
      </c>
      <c r="E66" s="91">
        <f t="shared" si="27"/>
        <v>5331.332465206725</v>
      </c>
      <c r="F66" s="91">
        <f t="shared" si="28"/>
        <v>6.19502713612193E-05</v>
      </c>
      <c r="G66" s="91">
        <f t="shared" si="29"/>
        <v>0.008881302567989599</v>
      </c>
      <c r="H66" s="91">
        <f t="shared" si="30"/>
        <v>0.09602311265635065</v>
      </c>
      <c r="I66" s="91">
        <f t="shared" si="31"/>
        <v>0.349657581417342</v>
      </c>
      <c r="J66" s="92">
        <f t="shared" si="32"/>
        <v>2.705104652336425</v>
      </c>
      <c r="K66" s="93">
        <f t="shared" si="33"/>
        <v>4424.778761061947</v>
      </c>
      <c r="L66" s="93">
        <f t="shared" si="34"/>
        <v>5077.4921093820385</v>
      </c>
      <c r="M66" s="91">
        <f t="shared" si="35"/>
        <v>0.00024600974251987864</v>
      </c>
      <c r="N66" s="91">
        <f t="shared" si="36"/>
        <v>0.017698286147715684</v>
      </c>
      <c r="O66" s="91">
        <f t="shared" si="37"/>
        <v>0.3813158635384738</v>
      </c>
      <c r="P66" s="91">
        <f t="shared" si="38"/>
        <v>0.696782919202259</v>
      </c>
      <c r="Q66" s="91">
        <f t="shared" si="39"/>
        <v>3.971084179525968</v>
      </c>
      <c r="R66" s="91">
        <f t="shared" si="40"/>
        <v>0.016452715344519135</v>
      </c>
      <c r="S66" s="91">
        <f t="shared" si="41"/>
        <v>0.6477446986038151</v>
      </c>
      <c r="T66" s="91">
        <f t="shared" si="42"/>
        <v>0.079</v>
      </c>
      <c r="U66" s="91">
        <f t="shared" si="43"/>
        <v>0.0020066</v>
      </c>
      <c r="V66" s="91">
        <f t="shared" si="44"/>
        <v>3.3982553013961847</v>
      </c>
      <c r="W66" s="91">
        <f t="shared" si="45"/>
        <v>0.08631568465548087</v>
      </c>
      <c r="X66" s="91">
        <f t="shared" si="46"/>
        <v>4.273624807489662</v>
      </c>
      <c r="Y66" s="92">
        <f t="shared" si="47"/>
        <v>2331.082826029737</v>
      </c>
      <c r="Z66" s="91">
        <f t="shared" si="48"/>
        <v>861.7348035006182</v>
      </c>
      <c r="AA66" s="92">
        <f t="shared" si="49"/>
        <v>2562.411565094644</v>
      </c>
    </row>
    <row r="67" spans="1:27" ht="12.75">
      <c r="A67" s="91">
        <v>0.35</v>
      </c>
      <c r="B67" s="91">
        <v>400</v>
      </c>
      <c r="C67" s="91">
        <f t="shared" si="25"/>
        <v>2757902.917268</v>
      </c>
      <c r="D67" s="91">
        <f t="shared" si="26"/>
        <v>1624.9901353965565</v>
      </c>
      <c r="E67" s="91">
        <f t="shared" si="27"/>
        <v>5331.332465206725</v>
      </c>
      <c r="F67" s="91">
        <f t="shared" si="28"/>
        <v>5.80783794011431E-05</v>
      </c>
      <c r="G67" s="91">
        <f t="shared" si="29"/>
        <v>0.008599284234613222</v>
      </c>
      <c r="H67" s="91">
        <f t="shared" si="30"/>
        <v>0.09002166811532873</v>
      </c>
      <c r="I67" s="91">
        <f t="shared" si="31"/>
        <v>0.33855449742613236</v>
      </c>
      <c r="J67" s="92">
        <f t="shared" si="32"/>
        <v>2.742047057692247</v>
      </c>
      <c r="K67" s="93">
        <f t="shared" si="33"/>
        <v>4424.778761061947</v>
      </c>
      <c r="L67" s="93">
        <f t="shared" si="34"/>
        <v>5415.991583340841</v>
      </c>
      <c r="M67" s="91">
        <f t="shared" si="35"/>
        <v>0.00024108468451629672</v>
      </c>
      <c r="N67" s="91">
        <f t="shared" si="36"/>
        <v>0.01752023270268263</v>
      </c>
      <c r="O67" s="91">
        <f t="shared" si="37"/>
        <v>0.3736820083651928</v>
      </c>
      <c r="P67" s="91">
        <f t="shared" si="38"/>
        <v>0.6897729410513429</v>
      </c>
      <c r="Q67" s="91">
        <f t="shared" si="39"/>
        <v>4.151022928018403</v>
      </c>
      <c r="R67" s="91">
        <f t="shared" si="40"/>
        <v>0.01664671646726939</v>
      </c>
      <c r="S67" s="91">
        <f t="shared" si="41"/>
        <v>0.6553825380821798</v>
      </c>
      <c r="T67" s="91">
        <f t="shared" si="42"/>
        <v>0.079</v>
      </c>
      <c r="U67" s="91">
        <f t="shared" si="43"/>
        <v>0.0020066</v>
      </c>
      <c r="V67" s="91">
        <f t="shared" si="44"/>
        <v>3.3906174619178198</v>
      </c>
      <c r="W67" s="91">
        <f t="shared" si="45"/>
        <v>0.08612168353273061</v>
      </c>
      <c r="X67" s="91">
        <f t="shared" si="46"/>
        <v>4.25370230614073</v>
      </c>
      <c r="Y67" s="92">
        <f t="shared" si="47"/>
        <v>2347.235607029112</v>
      </c>
      <c r="Z67" s="91">
        <f t="shared" si="48"/>
        <v>856.0158004744766</v>
      </c>
      <c r="AA67" s="92">
        <f t="shared" si="49"/>
        <v>2528.512942243393</v>
      </c>
    </row>
    <row r="68" spans="1:27" ht="12.75">
      <c r="A68" s="91">
        <v>0.35</v>
      </c>
      <c r="B68" s="91">
        <v>450</v>
      </c>
      <c r="C68" s="91">
        <f t="shared" si="25"/>
        <v>3102640.7819264997</v>
      </c>
      <c r="D68" s="91">
        <f t="shared" si="26"/>
        <v>1624.9901353965565</v>
      </c>
      <c r="E68" s="91">
        <f t="shared" si="27"/>
        <v>5331.332465206725</v>
      </c>
      <c r="F68" s="91">
        <f t="shared" si="28"/>
        <v>5.1625226134349433E-05</v>
      </c>
      <c r="G68" s="91">
        <f t="shared" si="29"/>
        <v>0.00810748292752744</v>
      </c>
      <c r="H68" s="91">
        <f t="shared" si="30"/>
        <v>0.08001926054695889</v>
      </c>
      <c r="I68" s="91">
        <f t="shared" si="31"/>
        <v>0.31919224124162904</v>
      </c>
      <c r="J68" s="92">
        <f t="shared" si="32"/>
        <v>2.809457112038132</v>
      </c>
      <c r="K68" s="93">
        <f t="shared" si="33"/>
        <v>4424.778761061947</v>
      </c>
      <c r="L68" s="93">
        <f t="shared" si="34"/>
        <v>6092.990531258445</v>
      </c>
      <c r="M68" s="91">
        <f t="shared" si="35"/>
        <v>0.00023245798953454503</v>
      </c>
      <c r="N68" s="91">
        <f t="shared" si="36"/>
        <v>0.01720391539054454</v>
      </c>
      <c r="O68" s="91">
        <f t="shared" si="37"/>
        <v>0.36031060440063695</v>
      </c>
      <c r="P68" s="91">
        <f t="shared" si="38"/>
        <v>0.677319503565576</v>
      </c>
      <c r="Q68" s="91">
        <f t="shared" si="39"/>
        <v>4.502798475489417</v>
      </c>
      <c r="R68" s="91">
        <f t="shared" si="40"/>
        <v>0.016974174059799365</v>
      </c>
      <c r="S68" s="91">
        <f t="shared" si="41"/>
        <v>0.6682745692841613</v>
      </c>
      <c r="T68" s="91">
        <f t="shared" si="42"/>
        <v>0.079</v>
      </c>
      <c r="U68" s="91">
        <f t="shared" si="43"/>
        <v>0.0020066</v>
      </c>
      <c r="V68" s="91">
        <f t="shared" si="44"/>
        <v>3.3777254307158384</v>
      </c>
      <c r="W68" s="91">
        <f t="shared" si="45"/>
        <v>0.08579422594020063</v>
      </c>
      <c r="X68" s="91">
        <f t="shared" si="46"/>
        <v>4.219453614586497</v>
      </c>
      <c r="Y68" s="92">
        <f t="shared" si="47"/>
        <v>2375.8911867763395</v>
      </c>
      <c r="Z68" s="91">
        <f t="shared" si="48"/>
        <v>845.6762612947451</v>
      </c>
      <c r="AA68" s="92">
        <f t="shared" si="49"/>
        <v>2467.799651199552</v>
      </c>
    </row>
    <row r="71" ht="12.75">
      <c r="B71" t="s">
        <v>228</v>
      </c>
    </row>
    <row r="73" spans="1:7" ht="12.75">
      <c r="A73" s="5"/>
      <c r="B73" s="5"/>
      <c r="C73" s="5"/>
      <c r="D73" s="5"/>
      <c r="E73" s="5"/>
      <c r="F73" s="5"/>
      <c r="G73" s="5"/>
    </row>
    <row r="74" spans="1:7" ht="12.75">
      <c r="A74" s="169" t="s">
        <v>195</v>
      </c>
      <c r="B74" s="18" t="s">
        <v>198</v>
      </c>
      <c r="C74" s="5"/>
      <c r="D74" s="18" t="s">
        <v>199</v>
      </c>
      <c r="E74" s="5"/>
      <c r="F74" s="5"/>
      <c r="G74" s="5"/>
    </row>
    <row r="75" spans="1:7" ht="25.5">
      <c r="A75" s="78" t="s">
        <v>8</v>
      </c>
      <c r="B75" s="78" t="s">
        <v>9</v>
      </c>
      <c r="C75" s="167" t="s">
        <v>196</v>
      </c>
      <c r="D75" s="168" t="s">
        <v>41</v>
      </c>
      <c r="E75" s="170" t="s">
        <v>245</v>
      </c>
      <c r="F75" s="170" t="s">
        <v>311</v>
      </c>
      <c r="G75" s="5"/>
    </row>
    <row r="76" spans="1:7" ht="12.75">
      <c r="A76" s="89">
        <v>0.14</v>
      </c>
      <c r="B76" s="89">
        <v>263.68</v>
      </c>
      <c r="C76" s="5">
        <v>0.532</v>
      </c>
      <c r="D76" s="172">
        <f>B76-120</f>
        <v>143.68</v>
      </c>
      <c r="E76" s="35">
        <v>2.503</v>
      </c>
      <c r="F76" s="35">
        <v>2236.82</v>
      </c>
      <c r="G76" s="5"/>
    </row>
    <row r="77" spans="1:7" ht="12.75">
      <c r="A77" s="5"/>
      <c r="B77" s="5"/>
      <c r="C77" s="5"/>
      <c r="D77" s="5"/>
      <c r="E77" s="5"/>
      <c r="F77" s="5"/>
      <c r="G77" s="5"/>
    </row>
    <row r="78" spans="1:7" ht="12.75">
      <c r="A78" s="169" t="s">
        <v>197</v>
      </c>
      <c r="B78" s="84"/>
      <c r="C78" s="84"/>
      <c r="D78" s="84"/>
      <c r="E78" s="5"/>
      <c r="F78" s="5"/>
      <c r="G78" s="5"/>
    </row>
    <row r="79" spans="1:7" ht="25.5">
      <c r="A79" s="78" t="s">
        <v>8</v>
      </c>
      <c r="B79" s="78" t="s">
        <v>9</v>
      </c>
      <c r="C79" s="167" t="s">
        <v>196</v>
      </c>
      <c r="D79" s="168" t="s">
        <v>200</v>
      </c>
      <c r="E79" s="170" t="s">
        <v>245</v>
      </c>
      <c r="F79" s="170" t="s">
        <v>311</v>
      </c>
      <c r="G79" s="5"/>
    </row>
    <row r="80" spans="1:7" ht="12.75">
      <c r="A80" s="89">
        <v>0.19</v>
      </c>
      <c r="B80" s="89">
        <v>357.85</v>
      </c>
      <c r="C80" s="5">
        <v>0.532</v>
      </c>
      <c r="D80" s="172">
        <f>B80-120</f>
        <v>237.85000000000002</v>
      </c>
      <c r="E80" s="35">
        <v>2.678</v>
      </c>
      <c r="F80" s="35">
        <v>2319.16</v>
      </c>
      <c r="G80" s="5"/>
    </row>
    <row r="81" spans="1:7" ht="12.75">
      <c r="A81" s="5"/>
      <c r="B81" s="84"/>
      <c r="C81" s="5"/>
      <c r="D81" s="5"/>
      <c r="E81" s="5"/>
      <c r="F81" s="5"/>
      <c r="G81" s="5"/>
    </row>
    <row r="82" spans="1:7" ht="12.75">
      <c r="A82" s="169" t="s">
        <v>201</v>
      </c>
      <c r="B82" s="84"/>
      <c r="C82" s="5"/>
      <c r="D82" s="5"/>
      <c r="E82" s="5"/>
      <c r="F82" s="5"/>
      <c r="G82" s="5"/>
    </row>
    <row r="83" spans="1:7" ht="25.5">
      <c r="A83" s="78" t="s">
        <v>8</v>
      </c>
      <c r="B83" s="78" t="s">
        <v>9</v>
      </c>
      <c r="C83" s="167" t="s">
        <v>196</v>
      </c>
      <c r="D83" s="168" t="s">
        <v>200</v>
      </c>
      <c r="E83" s="170" t="s">
        <v>245</v>
      </c>
      <c r="F83" s="170" t="s">
        <v>311</v>
      </c>
      <c r="G83" s="5"/>
    </row>
    <row r="84" spans="1:7" ht="12.75">
      <c r="A84" s="89">
        <v>0.22</v>
      </c>
      <c r="B84" s="89">
        <v>414.36</v>
      </c>
      <c r="C84" s="5">
        <v>0.532</v>
      </c>
      <c r="D84" s="172">
        <f>B84-120</f>
        <v>294.36</v>
      </c>
      <c r="E84" s="35">
        <v>2.762</v>
      </c>
      <c r="F84" s="35">
        <v>2355.93</v>
      </c>
      <c r="G84" s="5"/>
    </row>
    <row r="85" spans="1:7" ht="12.75">
      <c r="A85" s="5"/>
      <c r="B85" s="136"/>
      <c r="C85" s="5"/>
      <c r="D85" s="5"/>
      <c r="E85" s="5"/>
      <c r="F85" s="5"/>
      <c r="G85" s="5"/>
    </row>
    <row r="86" spans="1:7" ht="12.75">
      <c r="A86" s="5"/>
      <c r="B86" s="136"/>
      <c r="C86" s="5"/>
      <c r="D86" s="5"/>
      <c r="E86" s="5"/>
      <c r="F86" s="5"/>
      <c r="G86" s="5"/>
    </row>
    <row r="87" spans="1:7" ht="12.75">
      <c r="A87" s="5"/>
      <c r="B87" s="136"/>
      <c r="C87" s="5"/>
      <c r="D87" s="5"/>
      <c r="E87" s="5"/>
      <c r="F87" s="5"/>
      <c r="G87" s="5"/>
    </row>
    <row r="88" spans="1:7" ht="12.75">
      <c r="A88" s="5"/>
      <c r="B88" s="5"/>
      <c r="C88" s="5"/>
      <c r="D88" s="5"/>
      <c r="E88" s="5"/>
      <c r="F88" s="5"/>
      <c r="G88" s="5"/>
    </row>
    <row r="89" spans="1:7" ht="12.75">
      <c r="A89" s="5"/>
      <c r="B89" s="5"/>
      <c r="C89" s="5"/>
      <c r="D89" s="5"/>
      <c r="E89" s="5"/>
      <c r="F89" s="5"/>
      <c r="G89" s="5"/>
    </row>
  </sheetData>
  <sheetProtection/>
  <printOptions/>
  <pageMargins left="0.787401575" right="0.5" top="0.984251969" bottom="0.984251969" header="0.5" footer="0.5"/>
  <pageSetup horizontalDpi="600" verticalDpi="600" orientation="landscape"/>
  <ignoredErrors>
    <ignoredError sqref="H15:H32 O15:O32 H51:H68 O51:O6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F53"/>
  <sheetViews>
    <sheetView zoomScalePageLayoutView="0" workbookViewId="0" topLeftCell="A1">
      <selection activeCell="AA6" sqref="AA6"/>
    </sheetView>
  </sheetViews>
  <sheetFormatPr defaultColWidth="8.8515625" defaultRowHeight="12.75"/>
  <cols>
    <col min="1" max="1" width="11.421875" style="0" customWidth="1"/>
    <col min="2" max="2" width="10.140625" style="0" customWidth="1"/>
    <col min="3" max="3" width="9.7109375" style="0" customWidth="1"/>
    <col min="4" max="4" width="11.00390625" style="0" customWidth="1"/>
    <col min="5" max="10" width="8.8515625" style="0" customWidth="1"/>
    <col min="11" max="11" width="8.7109375" style="0" customWidth="1"/>
    <col min="12" max="14" width="8.8515625" style="0" customWidth="1"/>
    <col min="15" max="15" width="10.140625" style="0" customWidth="1"/>
    <col min="16" max="16" width="8.8515625" style="0" customWidth="1"/>
    <col min="17" max="17" width="11.140625" style="0" customWidth="1"/>
    <col min="18" max="20" width="8.8515625" style="0" customWidth="1"/>
    <col min="21" max="21" width="10.421875" style="0" customWidth="1"/>
    <col min="22" max="24" width="8.8515625" style="0" customWidth="1"/>
    <col min="25" max="25" width="9.8515625" style="0" customWidth="1"/>
  </cols>
  <sheetData>
    <row r="1" spans="1:2" ht="12.75">
      <c r="A1" s="98" t="s">
        <v>249</v>
      </c>
      <c r="B1" s="98"/>
    </row>
    <row r="3" spans="1:5" ht="12.75">
      <c r="A3" t="s">
        <v>250</v>
      </c>
      <c r="B3">
        <v>930</v>
      </c>
      <c r="C3" t="s">
        <v>251</v>
      </c>
      <c r="D3">
        <f>B3*0.000016387064</f>
        <v>0.015239969519999999</v>
      </c>
      <c r="E3" t="s">
        <v>137</v>
      </c>
    </row>
    <row r="4" ht="12.75">
      <c r="A4" t="s">
        <v>19</v>
      </c>
    </row>
    <row r="5" spans="1:31" ht="54">
      <c r="A5" t="s">
        <v>20</v>
      </c>
      <c r="B5" s="78" t="s">
        <v>21</v>
      </c>
      <c r="C5" s="78" t="s">
        <v>22</v>
      </c>
      <c r="D5" s="78" t="s">
        <v>23</v>
      </c>
      <c r="E5" s="78" t="s">
        <v>24</v>
      </c>
      <c r="F5" s="78" t="s">
        <v>25</v>
      </c>
      <c r="G5" s="78" t="s">
        <v>26</v>
      </c>
      <c r="H5" s="78" t="s">
        <v>27</v>
      </c>
      <c r="I5" s="78" t="s">
        <v>155</v>
      </c>
      <c r="J5" s="78" t="s">
        <v>156</v>
      </c>
      <c r="K5" s="78" t="s">
        <v>157</v>
      </c>
      <c r="L5" s="78" t="s">
        <v>158</v>
      </c>
      <c r="M5" s="78" t="s">
        <v>210</v>
      </c>
      <c r="N5" s="78" t="s">
        <v>211</v>
      </c>
      <c r="O5" s="78" t="s">
        <v>212</v>
      </c>
      <c r="P5" s="78" t="s">
        <v>162</v>
      </c>
      <c r="Q5" s="78" t="s">
        <v>163</v>
      </c>
      <c r="R5" s="78" t="s">
        <v>241</v>
      </c>
      <c r="S5" s="78" t="s">
        <v>164</v>
      </c>
      <c r="T5" s="78" t="s">
        <v>303</v>
      </c>
      <c r="U5" s="78" t="s">
        <v>304</v>
      </c>
      <c r="V5" s="78" t="s">
        <v>305</v>
      </c>
      <c r="W5" s="99" t="s">
        <v>38</v>
      </c>
      <c r="X5" s="99" t="s">
        <v>39</v>
      </c>
      <c r="Y5" s="100" t="s">
        <v>40</v>
      </c>
      <c r="Z5" s="100" t="s">
        <v>48</v>
      </c>
      <c r="AA5" s="101" t="s">
        <v>49</v>
      </c>
      <c r="AB5" s="101" t="s">
        <v>50</v>
      </c>
      <c r="AC5" s="101" t="s">
        <v>67</v>
      </c>
      <c r="AD5" s="102" t="s">
        <v>297</v>
      </c>
      <c r="AE5" s="103" t="s">
        <v>234</v>
      </c>
    </row>
    <row r="6" spans="1:31" ht="12.75">
      <c r="A6" s="104">
        <v>39166</v>
      </c>
      <c r="B6" t="s">
        <v>298</v>
      </c>
      <c r="C6">
        <v>1.5</v>
      </c>
      <c r="D6" t="s">
        <v>299</v>
      </c>
      <c r="E6">
        <v>9.772</v>
      </c>
      <c r="F6">
        <v>1.5</v>
      </c>
      <c r="G6">
        <v>0.566</v>
      </c>
      <c r="H6">
        <v>0.291</v>
      </c>
      <c r="I6">
        <v>11.1</v>
      </c>
      <c r="J6">
        <v>1.2855</v>
      </c>
      <c r="K6">
        <v>1.2085</v>
      </c>
      <c r="L6">
        <v>1.7285</v>
      </c>
      <c r="M6">
        <v>2.027</v>
      </c>
      <c r="N6">
        <f aca="true" t="shared" si="0" ref="N6:Q11">J6/2</f>
        <v>0.64275</v>
      </c>
      <c r="O6">
        <f t="shared" si="0"/>
        <v>0.60425</v>
      </c>
      <c r="P6">
        <f t="shared" si="0"/>
        <v>0.86425</v>
      </c>
      <c r="Q6">
        <f t="shared" si="0"/>
        <v>1.0135</v>
      </c>
      <c r="R6">
        <f aca="true" t="shared" si="1" ref="R6:R11">F6/I6</f>
        <v>0.13513513513513514</v>
      </c>
      <c r="S6">
        <f aca="true" t="shared" si="2" ref="S6:S11">(G6-H6)/I6</f>
        <v>0.02477477477477477</v>
      </c>
      <c r="T6">
        <f aca="true" t="shared" si="3" ref="T6:T11">R6+S6</f>
        <v>0.15990990990990991</v>
      </c>
      <c r="U6">
        <f aca="true" t="shared" si="4" ref="U6:U11">R6*2.20462262185</f>
        <v>0.2979219759256757</v>
      </c>
      <c r="V6">
        <f aca="true" t="shared" si="5" ref="V6:V11">U6/(PI()*O6^2)</f>
        <v>0.25972834539937856</v>
      </c>
      <c r="W6" s="95">
        <f>'Regression Rate Formulas'!$C$12*(V6)^'Regression Rate Formulas'!$C$13</f>
        <v>0.041526087608757055</v>
      </c>
      <c r="X6" s="95">
        <f aca="true" t="shared" si="6" ref="X6:X11">W6*25.4</f>
        <v>1.0547626252624291</v>
      </c>
      <c r="Y6" s="105">
        <f>'Regression Rate Formulas'!$I$12*(V6)^'Regression Rate Formulas'!$I$13</f>
        <v>0.052802846699119076</v>
      </c>
      <c r="Z6" s="105">
        <f aca="true" t="shared" si="7" ref="Z6:Z11">Y6*25.4</f>
        <v>1.3411923061576245</v>
      </c>
      <c r="AA6" s="106">
        <f aca="true" t="shared" si="8" ref="AA6:AA11">(SQRT((G6-H6)/($B$3*PI()*E6*0.0254)+(O6*0.0254)^2)-(O6*0.0254))/I6</f>
        <v>0.0008510494158347948</v>
      </c>
      <c r="AB6" s="106">
        <f aca="true" t="shared" si="9" ref="AB6:AB11">AA6*1000</f>
        <v>0.8510494158347948</v>
      </c>
      <c r="AC6" s="106">
        <f aca="true" t="shared" si="10" ref="AC6:AC11">AA6*39.3700787402</f>
        <v>0.03350588251321708</v>
      </c>
      <c r="AD6" s="107">
        <f aca="true" t="shared" si="11" ref="AD6:AD11">(Q6-O6)/I6</f>
        <v>0.03686936936936938</v>
      </c>
      <c r="AE6" s="89">
        <f aca="true" t="shared" si="12" ref="AE6:AE11">F6/(G6-H6)</f>
        <v>5.454545454545455</v>
      </c>
    </row>
    <row r="7" spans="1:31" ht="12.75">
      <c r="A7" s="108">
        <v>39137</v>
      </c>
      <c r="B7" t="s">
        <v>298</v>
      </c>
      <c r="C7">
        <v>2</v>
      </c>
      <c r="D7" t="s">
        <v>299</v>
      </c>
      <c r="E7" s="105">
        <v>9.272</v>
      </c>
      <c r="F7">
        <v>2</v>
      </c>
      <c r="G7">
        <v>0.526</v>
      </c>
      <c r="H7">
        <v>0.225</v>
      </c>
      <c r="I7">
        <v>13.4</v>
      </c>
      <c r="J7">
        <v>1.23</v>
      </c>
      <c r="K7">
        <v>1.2355</v>
      </c>
      <c r="L7">
        <v>1.763</v>
      </c>
      <c r="M7">
        <v>2.0445</v>
      </c>
      <c r="N7">
        <f t="shared" si="0"/>
        <v>0.615</v>
      </c>
      <c r="O7">
        <f t="shared" si="0"/>
        <v>0.61775</v>
      </c>
      <c r="P7">
        <f t="shared" si="0"/>
        <v>0.8815</v>
      </c>
      <c r="Q7">
        <f t="shared" si="0"/>
        <v>1.02225</v>
      </c>
      <c r="R7">
        <f t="shared" si="1"/>
        <v>0.14925373134328357</v>
      </c>
      <c r="S7">
        <f t="shared" si="2"/>
        <v>0.022462686567164183</v>
      </c>
      <c r="T7">
        <f t="shared" si="3"/>
        <v>0.17171641791044776</v>
      </c>
      <c r="U7">
        <f t="shared" si="4"/>
        <v>0.32904815251492536</v>
      </c>
      <c r="V7">
        <f t="shared" si="5"/>
        <v>0.27446317053067704</v>
      </c>
      <c r="W7" s="95">
        <f>'Regression Rate Formulas'!$C$12*(V7)^'Regression Rate Formulas'!$C$13</f>
        <v>0.04311625134662947</v>
      </c>
      <c r="X7" s="95">
        <f t="shared" si="6"/>
        <v>1.0951527842043884</v>
      </c>
      <c r="Y7" s="105">
        <f>'Regression Rate Formulas'!$I$12*(V7)^'Regression Rate Formulas'!$I$13</f>
        <v>0.054803659936195445</v>
      </c>
      <c r="Z7" s="105">
        <f t="shared" si="7"/>
        <v>1.3920129623793642</v>
      </c>
      <c r="AA7" s="106">
        <f t="shared" si="8"/>
        <v>0.0007802886734909801</v>
      </c>
      <c r="AB7" s="106">
        <f t="shared" si="9"/>
        <v>0.7802886734909801</v>
      </c>
      <c r="AC7" s="106">
        <f t="shared" si="10"/>
        <v>0.030720026515426095</v>
      </c>
      <c r="AD7" s="107">
        <f t="shared" si="11"/>
        <v>0.03018656716417911</v>
      </c>
      <c r="AE7" s="89">
        <f t="shared" si="12"/>
        <v>6.644518272425248</v>
      </c>
    </row>
    <row r="8" spans="1:31" ht="12.75">
      <c r="A8" s="104">
        <v>39166</v>
      </c>
      <c r="B8" t="s">
        <v>298</v>
      </c>
      <c r="C8">
        <v>2.5</v>
      </c>
      <c r="D8" t="s">
        <v>299</v>
      </c>
      <c r="E8">
        <v>8.772</v>
      </c>
      <c r="F8">
        <v>1.2</v>
      </c>
      <c r="G8">
        <v>0.455</v>
      </c>
      <c r="H8">
        <v>0.181</v>
      </c>
      <c r="I8" s="78">
        <v>11.15</v>
      </c>
      <c r="J8" s="78">
        <v>1.226</v>
      </c>
      <c r="K8">
        <v>1.202</v>
      </c>
      <c r="L8">
        <v>1.787</v>
      </c>
      <c r="M8">
        <v>1.95</v>
      </c>
      <c r="N8">
        <f t="shared" si="0"/>
        <v>0.613</v>
      </c>
      <c r="O8">
        <f t="shared" si="0"/>
        <v>0.601</v>
      </c>
      <c r="P8">
        <f t="shared" si="0"/>
        <v>0.8935</v>
      </c>
      <c r="Q8">
        <f t="shared" si="0"/>
        <v>0.975</v>
      </c>
      <c r="R8">
        <f t="shared" si="1"/>
        <v>0.10762331838565022</v>
      </c>
      <c r="S8">
        <f t="shared" si="2"/>
        <v>0.024573991031390137</v>
      </c>
      <c r="T8">
        <f t="shared" si="3"/>
        <v>0.13219730941704036</v>
      </c>
      <c r="U8">
        <f t="shared" si="4"/>
        <v>0.2372688023515695</v>
      </c>
      <c r="V8">
        <f t="shared" si="5"/>
        <v>0.20909412064610125</v>
      </c>
      <c r="W8" s="95">
        <f>'Regression Rate Formulas'!$C$12*(V8)^'Regression Rate Formulas'!$C$13</f>
        <v>0.03582499345067297</v>
      </c>
      <c r="X8" s="95">
        <f t="shared" si="6"/>
        <v>0.9099548336470934</v>
      </c>
      <c r="Y8" s="105">
        <f>'Regression Rate Formulas'!$I$12*(V8)^'Regression Rate Formulas'!$I$13</f>
        <v>0.04562277348997462</v>
      </c>
      <c r="Z8" s="105">
        <f t="shared" si="7"/>
        <v>1.1588184466453553</v>
      </c>
      <c r="AA8" s="106">
        <f t="shared" si="8"/>
        <v>0.0009243789627253982</v>
      </c>
      <c r="AB8" s="106">
        <f t="shared" si="9"/>
        <v>0.9243789627253982</v>
      </c>
      <c r="AC8" s="106">
        <f t="shared" si="10"/>
        <v>0.03639287254828333</v>
      </c>
      <c r="AD8" s="107">
        <f t="shared" si="11"/>
        <v>0.03354260089686099</v>
      </c>
      <c r="AE8" s="89">
        <f t="shared" si="12"/>
        <v>4.3795620437956195</v>
      </c>
    </row>
    <row r="9" spans="1:31" ht="12.75">
      <c r="A9" s="109">
        <v>39165</v>
      </c>
      <c r="B9" t="s">
        <v>298</v>
      </c>
      <c r="C9">
        <v>1.5</v>
      </c>
      <c r="D9" t="s">
        <v>300</v>
      </c>
      <c r="E9">
        <v>18.147</v>
      </c>
      <c r="F9">
        <v>1.5</v>
      </c>
      <c r="G9">
        <v>0.99</v>
      </c>
      <c r="H9">
        <v>0.514</v>
      </c>
      <c r="I9" s="78">
        <v>10</v>
      </c>
      <c r="J9" s="78">
        <v>1.245</v>
      </c>
      <c r="K9">
        <v>1.223</v>
      </c>
      <c r="L9">
        <v>1.798</v>
      </c>
      <c r="M9">
        <v>1.82</v>
      </c>
      <c r="N9">
        <f t="shared" si="0"/>
        <v>0.6225</v>
      </c>
      <c r="O9">
        <f t="shared" si="0"/>
        <v>0.6115</v>
      </c>
      <c r="P9">
        <f t="shared" si="0"/>
        <v>0.899</v>
      </c>
      <c r="Q9">
        <f t="shared" si="0"/>
        <v>0.91</v>
      </c>
      <c r="R9">
        <f t="shared" si="1"/>
        <v>0.15</v>
      </c>
      <c r="S9">
        <f t="shared" si="2"/>
        <v>0.047599999999999996</v>
      </c>
      <c r="T9">
        <f t="shared" si="3"/>
        <v>0.1976</v>
      </c>
      <c r="U9">
        <f t="shared" si="4"/>
        <v>0.33069339327749997</v>
      </c>
      <c r="V9">
        <f t="shared" si="5"/>
        <v>0.28150280264912303</v>
      </c>
      <c r="W9" s="95">
        <f>'Regression Rate Formulas'!$C$12*(V9)^'Regression Rate Formulas'!$C$13</f>
        <v>0.04386630699746508</v>
      </c>
      <c r="X9" s="95">
        <f t="shared" si="6"/>
        <v>1.114204197735613</v>
      </c>
      <c r="Y9" s="105">
        <f>'Regression Rate Formulas'!$I$12*(V9)^'Regression Rate Formulas'!$I$13</f>
        <v>0.05574714761811175</v>
      </c>
      <c r="Z9" s="105">
        <f t="shared" si="7"/>
        <v>1.4159775495000384</v>
      </c>
      <c r="AA9" s="106">
        <f t="shared" si="8"/>
        <v>0.0008854418965875153</v>
      </c>
      <c r="AB9" s="106">
        <f t="shared" si="9"/>
        <v>0.8854418965875154</v>
      </c>
      <c r="AC9" s="106">
        <f t="shared" si="10"/>
        <v>0.03485991718852251</v>
      </c>
      <c r="AD9" s="107">
        <f t="shared" si="11"/>
        <v>0.029849999999999998</v>
      </c>
      <c r="AE9" s="89">
        <f t="shared" si="12"/>
        <v>3.151260504201681</v>
      </c>
    </row>
    <row r="10" spans="1:31" ht="12.75">
      <c r="A10" s="108">
        <v>39137</v>
      </c>
      <c r="B10" t="s">
        <v>298</v>
      </c>
      <c r="C10">
        <v>2</v>
      </c>
      <c r="D10" t="s">
        <v>300</v>
      </c>
      <c r="E10" s="105">
        <v>17.647</v>
      </c>
      <c r="F10">
        <v>1.9</v>
      </c>
      <c r="G10">
        <v>0.976</v>
      </c>
      <c r="H10">
        <v>0.428</v>
      </c>
      <c r="I10">
        <v>13.8</v>
      </c>
      <c r="J10">
        <v>1.2355</v>
      </c>
      <c r="K10">
        <v>1.205</v>
      </c>
      <c r="L10">
        <v>1.766</v>
      </c>
      <c r="M10">
        <v>1.905</v>
      </c>
      <c r="N10">
        <f t="shared" si="0"/>
        <v>0.61775</v>
      </c>
      <c r="O10">
        <f t="shared" si="0"/>
        <v>0.6025</v>
      </c>
      <c r="P10">
        <f t="shared" si="0"/>
        <v>0.883</v>
      </c>
      <c r="Q10">
        <f t="shared" si="0"/>
        <v>0.9525</v>
      </c>
      <c r="R10">
        <f t="shared" si="1"/>
        <v>0.13768115942028983</v>
      </c>
      <c r="S10">
        <f t="shared" si="2"/>
        <v>0.03971014492753623</v>
      </c>
      <c r="T10">
        <f t="shared" si="3"/>
        <v>0.17739130434782607</v>
      </c>
      <c r="U10">
        <f t="shared" si="4"/>
        <v>0.3035349986605072</v>
      </c>
      <c r="V10">
        <f t="shared" si="5"/>
        <v>0.26616123242071754</v>
      </c>
      <c r="W10" s="95">
        <f>'Regression Rate Formulas'!$C$12*(V10)^'Regression Rate Formulas'!$C$13</f>
        <v>0.04222376417398501</v>
      </c>
      <c r="X10" s="95">
        <f t="shared" si="6"/>
        <v>1.0724836100192192</v>
      </c>
      <c r="Y10" s="105">
        <f>'Regression Rate Formulas'!$I$12*(V10)^'Regression Rate Formulas'!$I$13</f>
        <v>0.05368078894839366</v>
      </c>
      <c r="Z10" s="105">
        <f t="shared" si="7"/>
        <v>1.363492039289199</v>
      </c>
      <c r="AA10" s="106">
        <f t="shared" si="8"/>
        <v>0.0007422790374601809</v>
      </c>
      <c r="AB10" s="106">
        <f t="shared" si="9"/>
        <v>0.7422790374601809</v>
      </c>
      <c r="AC10" s="106">
        <f t="shared" si="10"/>
        <v>0.02922358415200719</v>
      </c>
      <c r="AD10" s="107">
        <f t="shared" si="11"/>
        <v>0.02536231884057971</v>
      </c>
      <c r="AE10" s="89">
        <f t="shared" si="12"/>
        <v>3.4671532846715323</v>
      </c>
    </row>
    <row r="11" spans="1:31" ht="12.75">
      <c r="A11" s="108">
        <v>39137</v>
      </c>
      <c r="B11" t="s">
        <v>298</v>
      </c>
      <c r="C11">
        <v>2.5</v>
      </c>
      <c r="D11" t="s">
        <v>300</v>
      </c>
      <c r="E11" s="105">
        <v>17.147</v>
      </c>
      <c r="F11">
        <v>1.9</v>
      </c>
      <c r="G11">
        <v>0.901</v>
      </c>
      <c r="H11">
        <v>0.407</v>
      </c>
      <c r="I11">
        <v>13.2</v>
      </c>
      <c r="J11">
        <v>1.24</v>
      </c>
      <c r="K11">
        <v>1.206</v>
      </c>
      <c r="L11">
        <v>1.709</v>
      </c>
      <c r="M11">
        <v>1.903</v>
      </c>
      <c r="N11">
        <f t="shared" si="0"/>
        <v>0.62</v>
      </c>
      <c r="O11">
        <f t="shared" si="0"/>
        <v>0.603</v>
      </c>
      <c r="P11">
        <f t="shared" si="0"/>
        <v>0.8545</v>
      </c>
      <c r="Q11">
        <f t="shared" si="0"/>
        <v>0.9515</v>
      </c>
      <c r="R11">
        <f t="shared" si="1"/>
        <v>0.14393939393939395</v>
      </c>
      <c r="S11">
        <f t="shared" si="2"/>
        <v>0.03742424242424243</v>
      </c>
      <c r="T11">
        <f t="shared" si="3"/>
        <v>0.1813636363636364</v>
      </c>
      <c r="U11">
        <f t="shared" si="4"/>
        <v>0.3173320440541667</v>
      </c>
      <c r="V11">
        <f t="shared" si="5"/>
        <v>0.2777982030844986</v>
      </c>
      <c r="W11" s="95">
        <f>'Regression Rate Formulas'!$C$12*(V11)^'Regression Rate Formulas'!$C$13</f>
        <v>0.04347234649664092</v>
      </c>
      <c r="X11" s="95">
        <f t="shared" si="6"/>
        <v>1.1041976010146792</v>
      </c>
      <c r="Y11" s="105">
        <f>'Regression Rate Formulas'!$I$12*(V11)^'Regression Rate Formulas'!$I$13</f>
        <v>0.055251609406440326</v>
      </c>
      <c r="Z11" s="105">
        <f t="shared" si="7"/>
        <v>1.4033908789235843</v>
      </c>
      <c r="AA11" s="106">
        <f t="shared" si="8"/>
        <v>0.0007302863654979969</v>
      </c>
      <c r="AB11" s="106">
        <f t="shared" si="9"/>
        <v>0.7302863654979969</v>
      </c>
      <c r="AC11" s="106">
        <f t="shared" si="10"/>
        <v>0.028751431712550617</v>
      </c>
      <c r="AD11" s="107">
        <f t="shared" si="11"/>
        <v>0.026401515151515155</v>
      </c>
      <c r="AE11" s="89">
        <f t="shared" si="12"/>
        <v>3.8461538461538454</v>
      </c>
    </row>
    <row r="12" spans="22:32" ht="12.75">
      <c r="V12" s="89"/>
      <c r="W12" s="135"/>
      <c r="X12" s="89"/>
      <c r="Y12" s="89"/>
      <c r="Z12" s="89"/>
      <c r="AA12" s="89"/>
      <c r="AB12" s="89"/>
      <c r="AC12" s="89"/>
      <c r="AD12" s="89"/>
      <c r="AE12" s="89"/>
      <c r="AF12" s="89"/>
    </row>
    <row r="13" spans="22:32" ht="12.75">
      <c r="V13" s="89"/>
      <c r="W13" s="135"/>
      <c r="X13" s="89"/>
      <c r="Y13" s="89"/>
      <c r="Z13" s="89"/>
      <c r="AA13" s="89"/>
      <c r="AB13" s="89"/>
      <c r="AC13" s="89"/>
      <c r="AD13" s="89"/>
      <c r="AE13" s="89"/>
      <c r="AF13" s="89"/>
    </row>
    <row r="14" spans="1:32" ht="12.75">
      <c r="A14" t="s">
        <v>20</v>
      </c>
      <c r="V14" s="89"/>
      <c r="W14" s="135"/>
      <c r="X14" s="89"/>
      <c r="Y14" s="89"/>
      <c r="Z14" s="89"/>
      <c r="AA14" s="89"/>
      <c r="AB14" s="89"/>
      <c r="AC14" s="89"/>
      <c r="AD14" s="89"/>
      <c r="AE14" s="89"/>
      <c r="AF14" s="89"/>
    </row>
    <row r="15" spans="1:31" ht="12.75">
      <c r="A15" s="104">
        <v>39166</v>
      </c>
      <c r="B15" t="s">
        <v>161</v>
      </c>
      <c r="C15">
        <v>2</v>
      </c>
      <c r="D15" t="s">
        <v>299</v>
      </c>
      <c r="E15">
        <v>8.772</v>
      </c>
      <c r="F15">
        <v>1.5</v>
      </c>
      <c r="G15">
        <v>0.461</v>
      </c>
      <c r="H15">
        <v>0.186</v>
      </c>
      <c r="I15">
        <v>10.95</v>
      </c>
      <c r="J15">
        <v>1.223</v>
      </c>
      <c r="K15">
        <v>1.1995</v>
      </c>
      <c r="L15">
        <v>1.797</v>
      </c>
      <c r="M15">
        <v>1.865</v>
      </c>
      <c r="N15">
        <f aca="true" t="shared" si="13" ref="N15:Q16">J15/2</f>
        <v>0.6115</v>
      </c>
      <c r="O15">
        <f t="shared" si="13"/>
        <v>0.59975</v>
      </c>
      <c r="P15">
        <f t="shared" si="13"/>
        <v>0.8985</v>
      </c>
      <c r="Q15">
        <f t="shared" si="13"/>
        <v>0.9325</v>
      </c>
      <c r="R15">
        <f>F15/I15</f>
        <v>0.13698630136986303</v>
      </c>
      <c r="S15">
        <f>(G15-H15)/I15</f>
        <v>0.025114155251141555</v>
      </c>
      <c r="T15">
        <f>R15+S15</f>
        <v>0.16210045662100458</v>
      </c>
      <c r="U15">
        <f>R15*2.20462262185</f>
        <v>0.3020030988835617</v>
      </c>
      <c r="V15">
        <f>U15/(PI()*O15^2)</f>
        <v>0.2672520303851173</v>
      </c>
      <c r="W15" s="95">
        <f>'Regression Rate Formulas'!$C$12*(V15)^'Regression Rate Formulas'!$C$13</f>
        <v>0.042341530224547765</v>
      </c>
      <c r="X15" s="95">
        <f>W15*25.4</f>
        <v>1.075474867703513</v>
      </c>
      <c r="Y15" s="105">
        <f>'Regression Rate Formulas'!$I$12*(V15)^'Regression Rate Formulas'!$I$13</f>
        <v>0.053828968616746825</v>
      </c>
      <c r="Z15" s="105">
        <f>Y15*25.4</f>
        <v>1.3672558028653692</v>
      </c>
      <c r="AA15" s="106">
        <f>(SQRT((G15-H15)/($B$3*PI()*E15*0.0254)+(O15*0.0254)^2)-(O15*0.0254))/I15</f>
        <v>0.0009451758081320819</v>
      </c>
      <c r="AB15" s="106">
        <f>AA15*1000</f>
        <v>0.9451758081320819</v>
      </c>
      <c r="AC15" s="106">
        <f>AA15*39.3700787402</f>
        <v>0.03721164598949223</v>
      </c>
      <c r="AD15" s="107">
        <f>(Q15-O15)/I15</f>
        <v>0.03038812785388128</v>
      </c>
      <c r="AE15" s="89">
        <f>F15/(G15-H15)</f>
        <v>5.454545454545454</v>
      </c>
    </row>
    <row r="16" spans="1:31" ht="12.75">
      <c r="A16" s="104">
        <v>39166</v>
      </c>
      <c r="B16" t="s">
        <v>161</v>
      </c>
      <c r="C16">
        <v>2</v>
      </c>
      <c r="D16" t="s">
        <v>300</v>
      </c>
      <c r="E16">
        <v>17.147</v>
      </c>
      <c r="F16">
        <v>1.4</v>
      </c>
      <c r="G16">
        <v>0.932</v>
      </c>
      <c r="H16">
        <v>0.491</v>
      </c>
      <c r="I16">
        <v>10.5</v>
      </c>
      <c r="J16">
        <v>1.2465</v>
      </c>
      <c r="K16">
        <v>1.19</v>
      </c>
      <c r="L16">
        <v>1.776</v>
      </c>
      <c r="M16">
        <v>1.831</v>
      </c>
      <c r="N16">
        <f t="shared" si="13"/>
        <v>0.62325</v>
      </c>
      <c r="O16">
        <f t="shared" si="13"/>
        <v>0.595</v>
      </c>
      <c r="P16">
        <f t="shared" si="13"/>
        <v>0.888</v>
      </c>
      <c r="Q16">
        <f t="shared" si="13"/>
        <v>0.9155</v>
      </c>
      <c r="R16">
        <f>F16/I16</f>
        <v>0.13333333333333333</v>
      </c>
      <c r="S16">
        <f>(G16-H16)/I16</f>
        <v>0.042</v>
      </c>
      <c r="T16">
        <f>R16+S16</f>
        <v>0.17533333333333334</v>
      </c>
      <c r="U16">
        <f>R16*2.20462262185</f>
        <v>0.29394968291333334</v>
      </c>
      <c r="V16">
        <f>U16/(PI()*O16^2)</f>
        <v>0.2642951489637864</v>
      </c>
      <c r="W16" s="95">
        <f>'Regression Rate Formulas'!$C$12*(V16)^'Regression Rate Formulas'!$C$13</f>
        <v>0.04202193812789666</v>
      </c>
      <c r="X16" s="95">
        <f>W16*25.4</f>
        <v>1.067357228448575</v>
      </c>
      <c r="Y16" s="105">
        <f>'Regression Rate Formulas'!$I$12*(V16)^'Regression Rate Formulas'!$I$13</f>
        <v>0.05342683052299911</v>
      </c>
      <c r="Z16" s="105">
        <f>Y16*25.4</f>
        <v>1.3570414952841774</v>
      </c>
      <c r="AA16" s="106">
        <f>(SQRT((G16-H16)/($B$3*PI()*E16*0.0254)+(O16*0.0254)^2)-(O16*0.0254))/I16</f>
        <v>0.0008443306936514061</v>
      </c>
      <c r="AB16" s="106">
        <f>AA16*1000</f>
        <v>0.8443306936514061</v>
      </c>
      <c r="AC16" s="106">
        <f>AA16*39.3700787402</f>
        <v>0.03324136589182354</v>
      </c>
      <c r="AD16" s="107">
        <f>(Q16-O16)/I16</f>
        <v>0.030523809523809526</v>
      </c>
      <c r="AE16" s="89">
        <f>F16/(G16-H16)</f>
        <v>3.174603174603174</v>
      </c>
    </row>
    <row r="17" spans="13:31" ht="12.75"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135"/>
      <c r="X17" s="89"/>
      <c r="Y17" s="89"/>
      <c r="Z17" s="89"/>
      <c r="AA17" s="89"/>
      <c r="AB17" s="89"/>
      <c r="AC17" s="89"/>
      <c r="AD17" s="89"/>
      <c r="AE17" s="89"/>
    </row>
    <row r="18" spans="13:31" ht="12.75"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135"/>
      <c r="X18" s="89"/>
      <c r="Y18" s="89"/>
      <c r="Z18" s="89"/>
      <c r="AA18" s="89"/>
      <c r="AB18" s="89"/>
      <c r="AC18" s="89"/>
      <c r="AD18" s="89"/>
      <c r="AE18" s="89"/>
    </row>
    <row r="19" spans="1:31" ht="12.75">
      <c r="A19" t="s">
        <v>20</v>
      </c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135"/>
      <c r="X19" s="89"/>
      <c r="Y19" s="89"/>
      <c r="Z19" s="89"/>
      <c r="AA19" s="89"/>
      <c r="AB19" s="89"/>
      <c r="AC19" s="89"/>
      <c r="AD19" s="89"/>
      <c r="AE19" s="89"/>
    </row>
    <row r="20" spans="1:31" ht="12.75">
      <c r="A20" s="104">
        <v>39166</v>
      </c>
      <c r="B20" t="s">
        <v>160</v>
      </c>
      <c r="C20">
        <v>2.5</v>
      </c>
      <c r="D20" t="s">
        <v>300</v>
      </c>
      <c r="E20">
        <v>17.147</v>
      </c>
      <c r="F20">
        <v>1.5</v>
      </c>
      <c r="G20">
        <v>0.884</v>
      </c>
      <c r="H20">
        <v>0.456</v>
      </c>
      <c r="I20">
        <v>10.7</v>
      </c>
      <c r="J20">
        <v>1.281</v>
      </c>
      <c r="K20">
        <v>1.225</v>
      </c>
      <c r="L20">
        <v>1.885</v>
      </c>
      <c r="M20">
        <v>1.8305</v>
      </c>
      <c r="N20">
        <f>J20/2</f>
        <v>0.6405</v>
      </c>
      <c r="O20">
        <f>K20/2</f>
        <v>0.6125</v>
      </c>
      <c r="P20">
        <f>L20/2</f>
        <v>0.9425</v>
      </c>
      <c r="Q20">
        <f>M20/2</f>
        <v>0.91525</v>
      </c>
      <c r="R20">
        <f>F20/I20</f>
        <v>0.14018691588785048</v>
      </c>
      <c r="S20">
        <f>(G20-H20)/I20</f>
        <v>0.04</v>
      </c>
      <c r="T20">
        <f>R20+S20</f>
        <v>0.1801869158878505</v>
      </c>
      <c r="U20">
        <f>R20*2.20462262185</f>
        <v>0.30905924605373836</v>
      </c>
      <c r="V20">
        <f>U20/(PI()*O20^2)</f>
        <v>0.2622283740052674</v>
      </c>
      <c r="W20" s="95">
        <f>'Regression Rate Formulas'!$C$12*(V20)^'Regression Rate Formulas'!$C$13</f>
        <v>0.04179787499263451</v>
      </c>
      <c r="X20" s="95">
        <f>W20*25.4</f>
        <v>1.0616660248129164</v>
      </c>
      <c r="Y20" s="105">
        <f>'Regression Rate Formulas'!$I$12*(V20)^'Regression Rate Formulas'!$I$13</f>
        <v>0.0531448764010608</v>
      </c>
      <c r="Z20" s="105">
        <f>Y20*25.4</f>
        <v>1.3498798605869444</v>
      </c>
      <c r="AA20" s="106">
        <f>(SQRT((G20-H20)/($B$3*PI()*E20*0.0254)+(O20*0.0254)^2)-(O20*0.0254))/I20</f>
        <v>0.0007936556183141305</v>
      </c>
      <c r="AB20" s="106">
        <f>AA20*1000</f>
        <v>0.7936556183141305</v>
      </c>
      <c r="AC20" s="106">
        <f>AA20*39.3700787402</f>
        <v>0.031246284185629435</v>
      </c>
      <c r="AD20" s="107">
        <f>(Q20-O20)/I20</f>
        <v>0.028294392523364485</v>
      </c>
      <c r="AE20" s="89">
        <f>F20/(G20-H20)</f>
        <v>3.504672897196262</v>
      </c>
    </row>
    <row r="24" spans="1:31" ht="12.75">
      <c r="A24" s="139" t="s">
        <v>31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>
        <f>SUM(R6:R20)/9</f>
        <v>0.13712658764608884</v>
      </c>
      <c r="S24" s="138">
        <f>SUM(S6:S20)/9</f>
        <v>0.033739999441805474</v>
      </c>
      <c r="T24" s="138">
        <f>SUM(T6:T20)/9</f>
        <v>0.17086658708789432</v>
      </c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</row>
    <row r="25" ht="12.75">
      <c r="H25" s="78"/>
    </row>
    <row r="37" spans="1:3" ht="12.75">
      <c r="A37" s="36" t="s">
        <v>167</v>
      </c>
      <c r="B37" s="36"/>
      <c r="C37" s="36"/>
    </row>
    <row r="39" spans="1:5" ht="12.75">
      <c r="A39" t="s">
        <v>301</v>
      </c>
      <c r="C39" t="s">
        <v>302</v>
      </c>
      <c r="D39">
        <v>0.03072</v>
      </c>
      <c r="E39" t="s">
        <v>255</v>
      </c>
    </row>
    <row r="41" spans="1:7" ht="25.5">
      <c r="A41" s="78"/>
      <c r="B41" s="78" t="s">
        <v>132</v>
      </c>
      <c r="C41" s="78" t="s">
        <v>133</v>
      </c>
      <c r="D41" s="78" t="s">
        <v>258</v>
      </c>
      <c r="E41" s="78"/>
      <c r="F41" s="78"/>
      <c r="G41" s="78"/>
    </row>
    <row r="42" spans="2:4" ht="12.75">
      <c r="B42">
        <v>0.625</v>
      </c>
      <c r="C42">
        <v>1.5825</v>
      </c>
      <c r="D42">
        <v>51.5</v>
      </c>
    </row>
    <row r="46" ht="12.75">
      <c r="A46" t="s">
        <v>136</v>
      </c>
    </row>
    <row r="49" spans="1:9" ht="12.75">
      <c r="A49" s="32" t="s">
        <v>37</v>
      </c>
      <c r="B49" s="32"/>
      <c r="C49" s="32"/>
      <c r="D49" s="32"/>
      <c r="E49" s="32"/>
      <c r="F49" s="32"/>
      <c r="G49" s="32"/>
      <c r="H49" s="32"/>
      <c r="I49" s="32"/>
    </row>
    <row r="52" spans="1:7" ht="12.75">
      <c r="A52" s="78"/>
      <c r="B52" s="78"/>
      <c r="C52" s="78"/>
      <c r="D52" s="78"/>
      <c r="E52" s="78"/>
      <c r="F52" s="112"/>
      <c r="G52" s="78"/>
    </row>
    <row r="53" ht="12.75">
      <c r="F53" s="32"/>
    </row>
  </sheetData>
  <sheetProtection/>
  <printOptions/>
  <pageMargins left="0.787401575" right="0.5" top="0.984251969" bottom="0.984251969" header="0.5" footer="0.5"/>
  <pageSetup horizontalDpi="600" verticalDpi="600" orientation="landscape"/>
  <ignoredErrors>
    <ignoredError sqref="Y6:Y20" formula="1"/>
    <ignoredError sqref="R23:T24" emptyCellReferenc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F23" sqref="F23"/>
    </sheetView>
  </sheetViews>
  <sheetFormatPr defaultColWidth="8.8515625" defaultRowHeight="12.75"/>
  <cols>
    <col min="1" max="1" width="11.421875" style="0" customWidth="1"/>
    <col min="2" max="2" width="8.8515625" style="0" customWidth="1"/>
    <col min="3" max="3" width="9.7109375" style="0" customWidth="1"/>
    <col min="4" max="4" width="11.00390625" style="0" customWidth="1"/>
    <col min="5" max="10" width="8.8515625" style="0" customWidth="1"/>
    <col min="11" max="11" width="8.7109375" style="0" customWidth="1"/>
    <col min="12" max="14" width="8.8515625" style="0" customWidth="1"/>
    <col min="15" max="15" width="10.140625" style="0" customWidth="1"/>
    <col min="16" max="18" width="8.8515625" style="0" customWidth="1"/>
    <col min="19" max="19" width="11.140625" style="0" customWidth="1"/>
    <col min="20" max="22" width="8.8515625" style="0" customWidth="1"/>
    <col min="23" max="23" width="10.421875" style="0" customWidth="1"/>
    <col min="24" max="26" width="8.8515625" style="0" customWidth="1"/>
    <col min="27" max="27" width="9.8515625" style="0" customWidth="1"/>
  </cols>
  <sheetData>
    <row r="1" spans="1:3" ht="12.75">
      <c r="A1" s="114" t="s">
        <v>266</v>
      </c>
      <c r="B1" s="95"/>
      <c r="C1" s="95"/>
    </row>
    <row r="3" spans="2:4" ht="15.75">
      <c r="B3" s="23" t="s">
        <v>120</v>
      </c>
      <c r="D3" s="23"/>
    </row>
    <row r="4" spans="2:4" ht="15.75">
      <c r="B4" s="23" t="s">
        <v>68</v>
      </c>
      <c r="D4" s="23"/>
    </row>
    <row r="6" spans="2:5" ht="12.75">
      <c r="B6" s="24" t="s">
        <v>69</v>
      </c>
      <c r="C6" s="24">
        <v>0.065</v>
      </c>
      <c r="D6" s="24" t="s">
        <v>122</v>
      </c>
      <c r="E6">
        <v>0.71</v>
      </c>
    </row>
    <row r="7" spans="2:3" ht="12.75">
      <c r="B7" s="24" t="s">
        <v>70</v>
      </c>
      <c r="C7">
        <v>0.77</v>
      </c>
    </row>
    <row r="8" spans="2:4" ht="14.25">
      <c r="B8" s="24" t="s">
        <v>71</v>
      </c>
      <c r="C8">
        <f>'Improved Nozzle Design'!$T$7/2</f>
        <v>0.5905511811023622</v>
      </c>
      <c r="D8" t="s">
        <v>72</v>
      </c>
    </row>
    <row r="9" spans="2:4" ht="14.25">
      <c r="B9" s="24" t="s">
        <v>73</v>
      </c>
      <c r="C9">
        <v>0.137127</v>
      </c>
      <c r="D9" t="s">
        <v>113</v>
      </c>
    </row>
    <row r="10" spans="2:4" ht="14.25">
      <c r="B10" s="24" t="s">
        <v>73</v>
      </c>
      <c r="C10">
        <f>$C$9*2.20462262185</f>
        <v>0.30231328626642495</v>
      </c>
      <c r="D10" t="s">
        <v>74</v>
      </c>
    </row>
    <row r="11" spans="2:4" ht="12.75">
      <c r="B11" s="24" t="s">
        <v>121</v>
      </c>
      <c r="C11">
        <v>5</v>
      </c>
      <c r="D11" t="s">
        <v>72</v>
      </c>
    </row>
    <row r="13" spans="2:4" ht="16.5" thickBot="1">
      <c r="B13" s="22" t="s">
        <v>252</v>
      </c>
      <c r="C13">
        <f>C10/(PI()*C8^2)</f>
        <v>0.2759257785941161</v>
      </c>
      <c r="D13" t="s">
        <v>253</v>
      </c>
    </row>
    <row r="14" spans="2:9" ht="14.25">
      <c r="B14" s="67" t="s">
        <v>254</v>
      </c>
      <c r="C14" s="68">
        <f>C6*C13^C7*(C11/3)^E6</f>
        <v>0.03466059565299814</v>
      </c>
      <c r="D14" s="69" t="s">
        <v>255</v>
      </c>
      <c r="I14" s="35"/>
    </row>
    <row r="15" spans="2:9" ht="15" thickBot="1">
      <c r="B15" s="70" t="s">
        <v>254</v>
      </c>
      <c r="C15" s="44">
        <f>C14*25.4</f>
        <v>0.8803791295861526</v>
      </c>
      <c r="D15" s="45" t="s">
        <v>256</v>
      </c>
      <c r="I15" s="35"/>
    </row>
    <row r="16" spans="2:4" ht="12.75">
      <c r="B16" s="136"/>
      <c r="C16" s="5"/>
      <c r="D16" s="5"/>
    </row>
    <row r="18" spans="1:12" ht="12.75">
      <c r="A18" s="114" t="s">
        <v>268</v>
      </c>
      <c r="B18" s="114"/>
      <c r="C18" s="114"/>
      <c r="D18" s="95"/>
      <c r="E18" s="113" t="s">
        <v>250</v>
      </c>
      <c r="F18">
        <v>930</v>
      </c>
      <c r="G18" t="s">
        <v>251</v>
      </c>
      <c r="H18">
        <f>F18*0.000016387064</f>
        <v>0.015239969519999999</v>
      </c>
      <c r="I18" t="s">
        <v>137</v>
      </c>
      <c r="K18" s="113" t="s">
        <v>234</v>
      </c>
      <c r="L18">
        <v>5.75</v>
      </c>
    </row>
    <row r="19" spans="5:9" ht="12.75">
      <c r="E19" s="113" t="s">
        <v>270</v>
      </c>
      <c r="F19">
        <f>$H$19*0.0254</f>
        <v>0.0008803791295861526</v>
      </c>
      <c r="G19" t="s">
        <v>128</v>
      </c>
      <c r="H19">
        <f>C14</f>
        <v>0.03466059565299814</v>
      </c>
      <c r="I19" t="s">
        <v>255</v>
      </c>
    </row>
    <row r="20" ht="13.5" thickBot="1"/>
    <row r="21" spans="2:19" s="78" customFormat="1" ht="39" thickBot="1">
      <c r="B21" s="140" t="s">
        <v>92</v>
      </c>
      <c r="C21" s="141" t="s">
        <v>99</v>
      </c>
      <c r="D21" s="142" t="s">
        <v>100</v>
      </c>
      <c r="E21" s="142" t="s">
        <v>103</v>
      </c>
      <c r="F21" s="142" t="s">
        <v>91</v>
      </c>
      <c r="G21" s="142" t="s">
        <v>98</v>
      </c>
      <c r="H21" s="142" t="s">
        <v>93</v>
      </c>
      <c r="I21" s="142" t="s">
        <v>155</v>
      </c>
      <c r="J21" s="142" t="s">
        <v>269</v>
      </c>
      <c r="K21" s="142" t="s">
        <v>97</v>
      </c>
      <c r="L21" s="142" t="s">
        <v>101</v>
      </c>
      <c r="M21" s="142" t="s">
        <v>102</v>
      </c>
      <c r="N21" s="154" t="s">
        <v>104</v>
      </c>
      <c r="O21" s="159" t="s">
        <v>30</v>
      </c>
      <c r="P21" s="160" t="s">
        <v>29</v>
      </c>
      <c r="Q21" s="155" t="s">
        <v>32</v>
      </c>
      <c r="R21" s="143" t="s">
        <v>159</v>
      </c>
      <c r="S21" s="144" t="s">
        <v>303</v>
      </c>
    </row>
    <row r="22" spans="2:19" ht="12.75">
      <c r="B22" s="32">
        <v>5</v>
      </c>
      <c r="C22" s="157">
        <v>1</v>
      </c>
      <c r="D22">
        <f aca="true" t="shared" si="0" ref="D22:D34">C22/2</f>
        <v>0.5</v>
      </c>
      <c r="E22">
        <f aca="true" t="shared" si="1" ref="E22:E34">B22/2-D22</f>
        <v>2</v>
      </c>
      <c r="F22" s="32">
        <v>10.5</v>
      </c>
      <c r="G22">
        <f aca="true" t="shared" si="2" ref="G22:G34">((PI()*F22*0.0254)/4)*((B22*0.0254)^2-(C22*0.0254)^2)</f>
        <v>0.0032433332322072636</v>
      </c>
      <c r="H22">
        <f aca="true" t="shared" si="3" ref="H22:H34">G22*$F$18</f>
        <v>3.016299905952755</v>
      </c>
      <c r="I22">
        <v>10</v>
      </c>
      <c r="J22">
        <f aca="true" t="shared" si="4" ref="J22:J34">H22-(($F$19*I22+D22*0.0254)^2-(D22*0.0254)^2)*$F$18*PI()*F22*0.0254</f>
        <v>2.78166110898206</v>
      </c>
      <c r="K22">
        <f aca="true" t="shared" si="5" ref="K22:K34">J22/$F$18</f>
        <v>0.002991033450518344</v>
      </c>
      <c r="L22">
        <f aca="true" t="shared" si="6" ref="L22:L34">39.3700787402*SQRT((B22*0.0254)^2-((K22*4)/(PI()*F22*0.0254)))</f>
        <v>1.6932119130617915</v>
      </c>
      <c r="M22">
        <f aca="true" t="shared" si="7" ref="M22:M34">L22/2</f>
        <v>0.8466059565308958</v>
      </c>
      <c r="N22">
        <f aca="true" t="shared" si="8" ref="N22:N34">B22/2-M22</f>
        <v>1.6533940434691043</v>
      </c>
      <c r="O22" s="161">
        <f>H22-J22</f>
        <v>0.23463879697069512</v>
      </c>
      <c r="P22" s="162">
        <f>O22*$L$18</f>
        <v>1.349173082581497</v>
      </c>
      <c r="Q22" s="145">
        <f>O22/I22</f>
        <v>0.023463879697069513</v>
      </c>
      <c r="R22" s="146">
        <f>P22/I22</f>
        <v>0.13491730825814968</v>
      </c>
      <c r="S22" s="147">
        <f>(O22+P22)/I22</f>
        <v>0.15838118795521922</v>
      </c>
    </row>
    <row r="23" spans="2:19" ht="12.75">
      <c r="B23">
        <v>5</v>
      </c>
      <c r="C23" s="158">
        <v>1.75</v>
      </c>
      <c r="D23">
        <f t="shared" si="0"/>
        <v>0.875</v>
      </c>
      <c r="E23">
        <f t="shared" si="1"/>
        <v>1.625</v>
      </c>
      <c r="F23" s="32">
        <v>10.5</v>
      </c>
      <c r="G23">
        <f t="shared" si="2"/>
        <v>0.002964609282564452</v>
      </c>
      <c r="H23">
        <f t="shared" si="3"/>
        <v>2.75708663278494</v>
      </c>
      <c r="I23">
        <v>10</v>
      </c>
      <c r="J23">
        <f t="shared" si="4"/>
        <v>2.3917643965537394</v>
      </c>
      <c r="K23">
        <f t="shared" si="5"/>
        <v>0.0025717896737136982</v>
      </c>
      <c r="L23">
        <f t="shared" si="6"/>
        <v>2.4432119130626018</v>
      </c>
      <c r="M23">
        <f t="shared" si="7"/>
        <v>1.2216059565313009</v>
      </c>
      <c r="N23">
        <f t="shared" si="8"/>
        <v>1.2783940434686991</v>
      </c>
      <c r="O23" s="163">
        <f aca="true" t="shared" si="9" ref="O23:O34">H23-J23</f>
        <v>0.36532223623120075</v>
      </c>
      <c r="P23" s="164">
        <f aca="true" t="shared" si="10" ref="P23:P34">O23*$L$18</f>
        <v>2.1006028583294043</v>
      </c>
      <c r="Q23" s="148">
        <f aca="true" t="shared" si="11" ref="Q23:Q34">O23/I23</f>
        <v>0.03653222362312007</v>
      </c>
      <c r="R23" s="149">
        <f aca="true" t="shared" si="12" ref="R23:R34">P23/I23</f>
        <v>0.21006028583294042</v>
      </c>
      <c r="S23" s="150">
        <f aca="true" t="shared" si="13" ref="S23:S34">(O23+P23)/I23</f>
        <v>0.2465925094560605</v>
      </c>
    </row>
    <row r="24" spans="2:19" ht="12.75">
      <c r="B24">
        <v>5</v>
      </c>
      <c r="C24" s="158">
        <v>2.5</v>
      </c>
      <c r="D24">
        <f t="shared" si="0"/>
        <v>1.25</v>
      </c>
      <c r="E24">
        <f t="shared" si="1"/>
        <v>1.25</v>
      </c>
      <c r="F24" s="32">
        <v>10.5</v>
      </c>
      <c r="G24">
        <f t="shared" si="2"/>
        <v>0.0025338540876619245</v>
      </c>
      <c r="H24">
        <f t="shared" si="3"/>
        <v>2.35648430152559</v>
      </c>
      <c r="I24">
        <v>10</v>
      </c>
      <c r="J24">
        <f t="shared" si="4"/>
        <v>1.860478626033883</v>
      </c>
      <c r="K24">
        <f t="shared" si="5"/>
        <v>0.0020005146516493366</v>
      </c>
      <c r="L24">
        <f t="shared" si="6"/>
        <v>3.1932119130634113</v>
      </c>
      <c r="M24">
        <f t="shared" si="7"/>
        <v>1.5966059565317057</v>
      </c>
      <c r="N24">
        <f t="shared" si="8"/>
        <v>0.9033940434682943</v>
      </c>
      <c r="O24" s="163">
        <f t="shared" si="9"/>
        <v>0.4960056754917068</v>
      </c>
      <c r="P24" s="164">
        <f t="shared" si="10"/>
        <v>2.852032634077314</v>
      </c>
      <c r="Q24" s="148">
        <f t="shared" si="11"/>
        <v>0.04960056754917068</v>
      </c>
      <c r="R24" s="149">
        <f t="shared" si="12"/>
        <v>0.2852032634077314</v>
      </c>
      <c r="S24" s="150">
        <f t="shared" si="13"/>
        <v>0.3348038309569021</v>
      </c>
    </row>
    <row r="25" spans="2:19" ht="12.75">
      <c r="B25">
        <v>5</v>
      </c>
      <c r="C25" s="158">
        <v>3</v>
      </c>
      <c r="D25">
        <f t="shared" si="0"/>
        <v>1.5</v>
      </c>
      <c r="E25">
        <f t="shared" si="1"/>
        <v>1</v>
      </c>
      <c r="F25" s="32">
        <v>10.5</v>
      </c>
      <c r="G25">
        <f t="shared" si="2"/>
        <v>0.0021622221548048427</v>
      </c>
      <c r="H25">
        <f t="shared" si="3"/>
        <v>2.0108666039685037</v>
      </c>
      <c r="I25">
        <v>10</v>
      </c>
      <c r="J25">
        <f t="shared" si="4"/>
        <v>1.4277386356364594</v>
      </c>
      <c r="K25">
        <f t="shared" si="5"/>
        <v>0.0015352028340176983</v>
      </c>
      <c r="L25">
        <f t="shared" si="6"/>
        <v>3.693211913063952</v>
      </c>
      <c r="M25">
        <f t="shared" si="7"/>
        <v>1.846605956531976</v>
      </c>
      <c r="N25">
        <f t="shared" si="8"/>
        <v>0.6533940434680241</v>
      </c>
      <c r="O25" s="163">
        <f t="shared" si="9"/>
        <v>0.5831279683320443</v>
      </c>
      <c r="P25" s="164">
        <f t="shared" si="10"/>
        <v>3.3529858179092544</v>
      </c>
      <c r="Q25" s="148">
        <f t="shared" si="11"/>
        <v>0.05831279683320443</v>
      </c>
      <c r="R25" s="149">
        <f t="shared" si="12"/>
        <v>0.3352985817909254</v>
      </c>
      <c r="S25" s="150">
        <f t="shared" si="13"/>
        <v>0.39361137862412987</v>
      </c>
    </row>
    <row r="26" spans="2:19" ht="12.75">
      <c r="B26" s="89">
        <v>5</v>
      </c>
      <c r="C26" s="158">
        <v>3.5</v>
      </c>
      <c r="D26">
        <f t="shared" si="0"/>
        <v>1.75</v>
      </c>
      <c r="E26">
        <f t="shared" si="1"/>
        <v>0.75</v>
      </c>
      <c r="F26" s="32">
        <v>10.5</v>
      </c>
      <c r="G26">
        <f t="shared" si="2"/>
        <v>0.0017230207796101091</v>
      </c>
      <c r="H26">
        <f t="shared" si="3"/>
        <v>1.6024093250374014</v>
      </c>
      <c r="I26">
        <v>10</v>
      </c>
      <c r="J26">
        <f t="shared" si="4"/>
        <v>0.9321590638650198</v>
      </c>
      <c r="K26">
        <f t="shared" si="5"/>
        <v>0.0010023215740484084</v>
      </c>
      <c r="L26">
        <f t="shared" si="6"/>
        <v>4.193211913064491</v>
      </c>
      <c r="M26">
        <f t="shared" si="7"/>
        <v>2.0966059565322457</v>
      </c>
      <c r="N26">
        <f t="shared" si="8"/>
        <v>0.4033940434677543</v>
      </c>
      <c r="O26" s="163">
        <f t="shared" si="9"/>
        <v>0.6702502611723816</v>
      </c>
      <c r="P26" s="164">
        <f t="shared" si="10"/>
        <v>3.8539390017411943</v>
      </c>
      <c r="Q26" s="148">
        <f t="shared" si="11"/>
        <v>0.06702502611723817</v>
      </c>
      <c r="R26" s="149">
        <f t="shared" si="12"/>
        <v>0.38539390017411945</v>
      </c>
      <c r="S26" s="150">
        <f t="shared" si="13"/>
        <v>0.4524189262913576</v>
      </c>
    </row>
    <row r="27" spans="2:19" ht="12.75">
      <c r="B27" s="89"/>
      <c r="C27" s="171"/>
      <c r="F27" s="32"/>
      <c r="O27" s="163"/>
      <c r="P27" s="164"/>
      <c r="Q27" s="148"/>
      <c r="R27" s="149"/>
      <c r="S27" s="150"/>
    </row>
    <row r="28" spans="2:19" ht="12.75">
      <c r="B28">
        <v>5</v>
      </c>
      <c r="C28" s="156">
        <f>L26</f>
        <v>4.193211913064491</v>
      </c>
      <c r="D28">
        <f t="shared" si="0"/>
        <v>2.0966059565322457</v>
      </c>
      <c r="E28">
        <f t="shared" si="1"/>
        <v>0.4033940434677543</v>
      </c>
      <c r="F28">
        <v>10</v>
      </c>
      <c r="G28">
        <f t="shared" si="2"/>
        <v>0.0009545919752793104</v>
      </c>
      <c r="H28">
        <f t="shared" si="3"/>
        <v>0.8877705370097587</v>
      </c>
      <c r="I28">
        <v>10</v>
      </c>
      <c r="J28">
        <f t="shared" si="4"/>
        <v>0.13440036200670002</v>
      </c>
      <c r="K28">
        <f t="shared" si="5"/>
        <v>0.00014451651828677423</v>
      </c>
      <c r="L28">
        <f t="shared" si="6"/>
        <v>4.8864238261297315</v>
      </c>
      <c r="M28">
        <f t="shared" si="7"/>
        <v>2.4432119130648657</v>
      </c>
      <c r="N28">
        <f t="shared" si="8"/>
        <v>0.05678808693513426</v>
      </c>
      <c r="O28" s="163">
        <f t="shared" si="9"/>
        <v>0.7533701750030587</v>
      </c>
      <c r="P28" s="164">
        <f t="shared" si="10"/>
        <v>4.3318785062675875</v>
      </c>
      <c r="Q28" s="148">
        <f t="shared" si="11"/>
        <v>0.07533701750030587</v>
      </c>
      <c r="R28" s="149">
        <f t="shared" si="12"/>
        <v>0.43318785062675874</v>
      </c>
      <c r="S28" s="150">
        <f t="shared" si="13"/>
        <v>0.5085248681270647</v>
      </c>
    </row>
    <row r="29" spans="2:19" ht="12.75">
      <c r="B29">
        <v>5</v>
      </c>
      <c r="C29" s="156">
        <f aca="true" t="shared" si="14" ref="C29:C34">L28</f>
        <v>4.8864238261297315</v>
      </c>
      <c r="D29">
        <f t="shared" si="0"/>
        <v>2.4432119130648657</v>
      </c>
      <c r="E29">
        <f t="shared" si="1"/>
        <v>0.05678808693513426</v>
      </c>
      <c r="F29">
        <v>10</v>
      </c>
      <c r="G29">
        <f t="shared" si="2"/>
        <v>0.00014451651828013655</v>
      </c>
      <c r="H29">
        <f t="shared" si="3"/>
        <v>0.134400362000527</v>
      </c>
      <c r="I29">
        <v>10</v>
      </c>
      <c r="J29">
        <f t="shared" si="4"/>
        <v>-0.7340064059367793</v>
      </c>
      <c r="K29">
        <f t="shared" si="5"/>
        <v>-0.0007892541999320208</v>
      </c>
      <c r="L29">
        <f t="shared" si="6"/>
        <v>5.579635739195719</v>
      </c>
      <c r="M29">
        <f t="shared" si="7"/>
        <v>2.7898178695978597</v>
      </c>
      <c r="N29">
        <f t="shared" si="8"/>
        <v>-0.2898178695978597</v>
      </c>
      <c r="O29" s="163">
        <f t="shared" si="9"/>
        <v>0.8684067679373063</v>
      </c>
      <c r="P29" s="164">
        <f t="shared" si="10"/>
        <v>4.993338915639511</v>
      </c>
      <c r="Q29" s="148">
        <f t="shared" si="11"/>
        <v>0.08684067679373063</v>
      </c>
      <c r="R29" s="149">
        <f t="shared" si="12"/>
        <v>0.49933389156395114</v>
      </c>
      <c r="S29" s="150">
        <f t="shared" si="13"/>
        <v>0.5861745683576818</v>
      </c>
    </row>
    <row r="30" spans="2:19" ht="12.75">
      <c r="B30">
        <v>5</v>
      </c>
      <c r="C30" s="156">
        <f t="shared" si="14"/>
        <v>5.579635739195719</v>
      </c>
      <c r="D30">
        <f t="shared" si="0"/>
        <v>2.7898178695978597</v>
      </c>
      <c r="E30">
        <f t="shared" si="1"/>
        <v>-0.2898178695978597</v>
      </c>
      <c r="F30">
        <v>10</v>
      </c>
      <c r="G30">
        <f t="shared" si="2"/>
        <v>-0.0007892541999406743</v>
      </c>
      <c r="H30">
        <f t="shared" si="3"/>
        <v>-0.7340064059448271</v>
      </c>
      <c r="I30">
        <v>10</v>
      </c>
      <c r="J30">
        <f t="shared" si="4"/>
        <v>-1.7174497668165056</v>
      </c>
      <c r="K30">
        <f t="shared" si="5"/>
        <v>-0.0018467201793725867</v>
      </c>
      <c r="L30">
        <f t="shared" si="6"/>
        <v>6.272847652262456</v>
      </c>
      <c r="M30">
        <f t="shared" si="7"/>
        <v>3.136423826131228</v>
      </c>
      <c r="N30">
        <f t="shared" si="8"/>
        <v>-0.636423826131228</v>
      </c>
      <c r="O30" s="163">
        <f t="shared" si="9"/>
        <v>0.9834433608716785</v>
      </c>
      <c r="P30" s="164">
        <f t="shared" si="10"/>
        <v>5.654799325012151</v>
      </c>
      <c r="Q30" s="148">
        <f t="shared" si="11"/>
        <v>0.09834433608716785</v>
      </c>
      <c r="R30" s="149">
        <f t="shared" si="12"/>
        <v>0.5654799325012151</v>
      </c>
      <c r="S30" s="150">
        <f t="shared" si="13"/>
        <v>0.663824268588383</v>
      </c>
    </row>
    <row r="31" spans="2:19" ht="12.75">
      <c r="B31">
        <v>5</v>
      </c>
      <c r="C31" s="156">
        <f t="shared" si="14"/>
        <v>6.272847652262456</v>
      </c>
      <c r="D31">
        <f t="shared" si="0"/>
        <v>3.136423826131228</v>
      </c>
      <c r="E31">
        <f t="shared" si="1"/>
        <v>-0.636423826131228</v>
      </c>
      <c r="F31">
        <v>10</v>
      </c>
      <c r="G31">
        <f t="shared" si="2"/>
        <v>-0.0018467201793835259</v>
      </c>
      <c r="H31">
        <f t="shared" si="3"/>
        <v>-1.717449766826679</v>
      </c>
      <c r="I31">
        <v>10</v>
      </c>
      <c r="J31">
        <f t="shared" si="4"/>
        <v>-2.815929720632854</v>
      </c>
      <c r="K31">
        <f t="shared" si="5"/>
        <v>-0.003027881420035327</v>
      </c>
      <c r="L31">
        <f t="shared" si="6"/>
        <v>6.9660595653299415</v>
      </c>
      <c r="M31">
        <f t="shared" si="7"/>
        <v>3.4830297826649708</v>
      </c>
      <c r="N31">
        <f t="shared" si="8"/>
        <v>-0.9830297826649708</v>
      </c>
      <c r="O31" s="163">
        <f t="shared" si="9"/>
        <v>1.098479953806175</v>
      </c>
      <c r="P31" s="164">
        <f t="shared" si="10"/>
        <v>6.316259734385506</v>
      </c>
      <c r="Q31" s="148">
        <f t="shared" si="11"/>
        <v>0.10984799538061749</v>
      </c>
      <c r="R31" s="149">
        <f t="shared" si="12"/>
        <v>0.6316259734385505</v>
      </c>
      <c r="S31" s="150">
        <f t="shared" si="13"/>
        <v>0.741473968819168</v>
      </c>
    </row>
    <row r="32" spans="2:19" ht="12.75">
      <c r="B32">
        <v>5</v>
      </c>
      <c r="C32" s="156">
        <f t="shared" si="14"/>
        <v>6.9660595653299415</v>
      </c>
      <c r="D32">
        <f t="shared" si="0"/>
        <v>3.4830297826649708</v>
      </c>
      <c r="E32">
        <f t="shared" si="1"/>
        <v>-0.9830297826649708</v>
      </c>
      <c r="F32">
        <v>10</v>
      </c>
      <c r="G32">
        <f t="shared" si="2"/>
        <v>-0.003027881420048815</v>
      </c>
      <c r="H32">
        <f t="shared" si="3"/>
        <v>-2.8159297206453977</v>
      </c>
      <c r="I32">
        <v>10</v>
      </c>
      <c r="J32">
        <f t="shared" si="4"/>
        <v>-4.029446267386193</v>
      </c>
      <c r="K32">
        <f t="shared" si="5"/>
        <v>-0.004332737921920638</v>
      </c>
      <c r="L32">
        <f t="shared" si="6"/>
        <v>7.659271478398175</v>
      </c>
      <c r="M32">
        <f t="shared" si="7"/>
        <v>3.8296357391990874</v>
      </c>
      <c r="N32">
        <f t="shared" si="8"/>
        <v>-1.3296357391990874</v>
      </c>
      <c r="O32" s="163">
        <f t="shared" si="9"/>
        <v>1.2135165467407956</v>
      </c>
      <c r="P32" s="164">
        <f t="shared" si="10"/>
        <v>6.977720143759575</v>
      </c>
      <c r="Q32" s="148">
        <f t="shared" si="11"/>
        <v>0.12135165467407956</v>
      </c>
      <c r="R32" s="149">
        <f t="shared" si="12"/>
        <v>0.6977720143759575</v>
      </c>
      <c r="S32" s="150">
        <f t="shared" si="13"/>
        <v>0.819123669050037</v>
      </c>
    </row>
    <row r="33" spans="2:19" ht="12.75">
      <c r="B33">
        <v>5</v>
      </c>
      <c r="C33" s="156">
        <f t="shared" si="14"/>
        <v>7.659271478398175</v>
      </c>
      <c r="D33">
        <f t="shared" si="0"/>
        <v>3.8296357391990874</v>
      </c>
      <c r="E33">
        <f t="shared" si="1"/>
        <v>-1.3296357391990874</v>
      </c>
      <c r="F33">
        <v>10</v>
      </c>
      <c r="G33">
        <f t="shared" si="2"/>
        <v>-0.004332737921936945</v>
      </c>
      <c r="H33">
        <f t="shared" si="3"/>
        <v>-4.029446267401359</v>
      </c>
      <c r="I33">
        <v>10</v>
      </c>
      <c r="J33">
        <f t="shared" si="4"/>
        <v>-5.3579994070769</v>
      </c>
      <c r="K33">
        <f t="shared" si="5"/>
        <v>-0.005761289685028924</v>
      </c>
      <c r="L33">
        <f t="shared" si="6"/>
        <v>8.352483391467157</v>
      </c>
      <c r="M33">
        <f t="shared" si="7"/>
        <v>4.176241695733578</v>
      </c>
      <c r="N33">
        <f t="shared" si="8"/>
        <v>-1.6762416957335784</v>
      </c>
      <c r="O33" s="163">
        <f t="shared" si="9"/>
        <v>1.3285531396755408</v>
      </c>
      <c r="P33" s="164">
        <f t="shared" si="10"/>
        <v>7.639180553134359</v>
      </c>
      <c r="Q33" s="148">
        <f t="shared" si="11"/>
        <v>0.13285531396755407</v>
      </c>
      <c r="R33" s="149">
        <f t="shared" si="12"/>
        <v>0.7639180553134359</v>
      </c>
      <c r="S33" s="150">
        <f t="shared" si="13"/>
        <v>0.89677336928099</v>
      </c>
    </row>
    <row r="34" spans="2:19" ht="13.5" thickBot="1">
      <c r="B34">
        <v>5</v>
      </c>
      <c r="C34" s="156">
        <f t="shared" si="14"/>
        <v>8.352483391467157</v>
      </c>
      <c r="D34">
        <f t="shared" si="0"/>
        <v>4.176241695733578</v>
      </c>
      <c r="E34">
        <f t="shared" si="1"/>
        <v>-1.6762416957335784</v>
      </c>
      <c r="F34">
        <v>10</v>
      </c>
      <c r="G34">
        <f t="shared" si="2"/>
        <v>-0.005761289685048319</v>
      </c>
      <c r="H34">
        <f t="shared" si="3"/>
        <v>-5.357999407094936</v>
      </c>
      <c r="I34">
        <v>10</v>
      </c>
      <c r="J34">
        <f t="shared" si="4"/>
        <v>-6.801589139705345</v>
      </c>
      <c r="K34">
        <f t="shared" si="5"/>
        <v>-0.007313536709360586</v>
      </c>
      <c r="L34">
        <f t="shared" si="6"/>
        <v>9.045695304536888</v>
      </c>
      <c r="M34">
        <f t="shared" si="7"/>
        <v>4.522847652268444</v>
      </c>
      <c r="N34">
        <f t="shared" si="8"/>
        <v>-2.022847652268444</v>
      </c>
      <c r="O34" s="165">
        <f t="shared" si="9"/>
        <v>1.443589732610409</v>
      </c>
      <c r="P34" s="166">
        <f t="shared" si="10"/>
        <v>8.300640962509853</v>
      </c>
      <c r="Q34" s="151">
        <f t="shared" si="11"/>
        <v>0.1443589732610409</v>
      </c>
      <c r="R34" s="152">
        <f t="shared" si="12"/>
        <v>0.8300640962509853</v>
      </c>
      <c r="S34" s="153">
        <f t="shared" si="13"/>
        <v>0.9744230695120262</v>
      </c>
    </row>
  </sheetData>
  <sheetProtection/>
  <printOptions/>
  <pageMargins left="0.787401575" right="0.5" top="0.984251969" bottom="0.984251969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Tempuser</dc:creator>
  <cp:keywords/>
  <dc:description/>
  <cp:lastModifiedBy>casa</cp:lastModifiedBy>
  <cp:lastPrinted>2007-02-07T18:05:52Z</cp:lastPrinted>
  <dcterms:created xsi:type="dcterms:W3CDTF">2007-02-02T15:30:41Z</dcterms:created>
  <dcterms:modified xsi:type="dcterms:W3CDTF">2016-02-06T12:56:16Z</dcterms:modified>
  <cp:category/>
  <cp:version/>
  <cp:contentType/>
  <cp:contentStatus/>
</cp:coreProperties>
</file>